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19" activeTab="21"/>
  </bookViews>
  <sheets>
    <sheet name="Русская тяга люб. 150 кг." sheetId="1" r:id="rId1"/>
    <sheet name="РЖ любители 55 кг." sheetId="2" r:id="rId2"/>
    <sheet name="Пауэрспорт Любители" sheetId="3" r:id="rId3"/>
    <sheet name="Бицепс Профессионалы" sheetId="4" r:id="rId4"/>
    <sheet name="Бицепс Любители" sheetId="5" r:id="rId5"/>
    <sheet name="Жим стоя Любители" sheetId="6" r:id="rId6"/>
    <sheet name="Люб. народная тяга" sheetId="7" r:id="rId7"/>
    <sheet name="Проф. народный жим 1 вес" sheetId="8" r:id="rId8"/>
    <sheet name="Люб. народный жим 1_2 вес" sheetId="9" r:id="rId9"/>
    <sheet name="Люб. народный жим 1 вес" sheetId="10" r:id="rId10"/>
    <sheet name="Жимовое двоеборье ПРО" sheetId="11" r:id="rId11"/>
    <sheet name="Жимовое двоеборье Любители" sheetId="12" r:id="rId12"/>
    <sheet name="Силовое двоеборье" sheetId="13" r:id="rId13"/>
    <sheet name="ПРО присед софт экип." sheetId="14" r:id="rId14"/>
    <sheet name="ПРО присед б.э." sheetId="15" r:id="rId15"/>
    <sheet name="Люб. присед б.э." sheetId="16" r:id="rId16"/>
    <sheet name="Люб. тяга б.э." sheetId="17" r:id="rId17"/>
    <sheet name="Люб. тяга 1.слой" sheetId="18" r:id="rId18"/>
    <sheet name="Люб. жим жим софт мн.петельная" sheetId="19" r:id="rId19"/>
    <sheet name="ПРО жим софт 1 петельная" sheetId="20" r:id="rId20"/>
    <sheet name="ПРО жим б.э." sheetId="21" r:id="rId21"/>
    <sheet name="Люб. жим б.э." sheetId="22" r:id="rId22"/>
    <sheet name="СОВ жим" sheetId="23" r:id="rId23"/>
    <sheet name="ПРО Военный жим" sheetId="24" r:id="rId24"/>
    <sheet name="Люб. Военный жим" sheetId="25" r:id="rId25"/>
    <sheet name="ПРО ПЛ. б.э." sheetId="26" r:id="rId26"/>
    <sheet name="Люб. ПЛ. б.э." sheetId="27" r:id="rId27"/>
    <sheet name="ПРО ПЛ. СОФТ Стандарт" sheetId="28" r:id="rId28"/>
  </sheets>
  <definedNames/>
  <calcPr fullCalcOnLoad="1" refMode="R1C1"/>
</workbook>
</file>

<file path=xl/sharedStrings.xml><?xml version="1.0" encoding="utf-8"?>
<sst xmlns="http://schemas.openxmlformats.org/spreadsheetml/2006/main" count="2809" uniqueCount="691">
  <si>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</si>
  <si>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</si>
  <si>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</si>
  <si>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</si>
  <si>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</si>
  <si>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</si>
  <si>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</si>
  <si>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</si>
  <si>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</si>
  <si>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Shv/Mel</t>
  </si>
  <si>
    <t>Приседание</t>
  </si>
  <si>
    <t>Жим лёжа</t>
  </si>
  <si>
    <t>Становая тяга</t>
  </si>
  <si>
    <t>ВЕСОВАЯ КАТЕГОРИЯ   110</t>
  </si>
  <si>
    <t>Багаутдинов Станислав</t>
  </si>
  <si>
    <t>1. Багаутдинов Станислав</t>
  </si>
  <si>
    <t>Открытая (01.06.1985)/34</t>
  </si>
  <si>
    <t>107,60</t>
  </si>
  <si>
    <t xml:space="preserve">Красноярск </t>
  </si>
  <si>
    <t xml:space="preserve">Орша/ </t>
  </si>
  <si>
    <t>210,0</t>
  </si>
  <si>
    <t>230,0</t>
  </si>
  <si>
    <t>170,0</t>
  </si>
  <si>
    <t>185,0</t>
  </si>
  <si>
    <t>187,5</t>
  </si>
  <si>
    <t xml:space="preserve">Гладких Владимир Петрович </t>
  </si>
  <si>
    <t>ВЕСОВАЯ КАТЕГОРИЯ   140+</t>
  </si>
  <si>
    <t>Казанцев Алексей</t>
  </si>
  <si>
    <t>1. Казанцев Алексей</t>
  </si>
  <si>
    <t>Открытая (08.07.1975)/44</t>
  </si>
  <si>
    <t>168,10</t>
  </si>
  <si>
    <t xml:space="preserve">лично </t>
  </si>
  <si>
    <t xml:space="preserve">Брянск/Брянская область </t>
  </si>
  <si>
    <t>240,0</t>
  </si>
  <si>
    <t>255,0</t>
  </si>
  <si>
    <t>265,0</t>
  </si>
  <si>
    <t>120,0</t>
  </si>
  <si>
    <t>130,0</t>
  </si>
  <si>
    <t>137,5</t>
  </si>
  <si>
    <t xml:space="preserve">Малкин Олег </t>
  </si>
  <si>
    <t>Главный судья:</t>
  </si>
  <si>
    <t>Главный секретарь:</t>
  </si>
  <si>
    <t>Старший судья:</t>
  </si>
  <si>
    <t>Боковой судья: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</si>
  <si>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</si>
  <si>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</si>
  <si>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</si>
  <si>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</si>
  <si>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</si>
  <si>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</si>
  <si>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</si>
  <si>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</si>
  <si>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110</t>
  </si>
  <si>
    <t>625,0</t>
  </si>
  <si>
    <t>337,2500</t>
  </si>
  <si>
    <t>140+</t>
  </si>
  <si>
    <t>667,5</t>
  </si>
  <si>
    <t>317,8702</t>
  </si>
  <si>
    <t xml:space="preserve">Командное первенство </t>
  </si>
  <si>
    <t xml:space="preserve">Команда </t>
  </si>
  <si>
    <t xml:space="preserve">Очки </t>
  </si>
  <si>
    <t xml:space="preserve">Участники </t>
  </si>
  <si>
    <t xml:space="preserve">12(12) </t>
  </si>
  <si>
    <t xml:space="preserve">Багаутдинов Станислав </t>
  </si>
  <si>
    <t>ВЕСОВАЯ КАТЕГОРИЯ   56</t>
  </si>
  <si>
    <t>Калинина Дарья</t>
  </si>
  <si>
    <t>1. Калинина Дарья</t>
  </si>
  <si>
    <t>Открытая (29.05.1992)/27</t>
  </si>
  <si>
    <t>55,75</t>
  </si>
  <si>
    <t xml:space="preserve">Сталь Брянск. </t>
  </si>
  <si>
    <t>70,0</t>
  </si>
  <si>
    <t>80,0</t>
  </si>
  <si>
    <t>35,0</t>
  </si>
  <si>
    <t>40,0</t>
  </si>
  <si>
    <t>42,5</t>
  </si>
  <si>
    <t>85,0</t>
  </si>
  <si>
    <t>95,0</t>
  </si>
  <si>
    <t>100,0</t>
  </si>
  <si>
    <t xml:space="preserve">Молчанов Сергей </t>
  </si>
  <si>
    <t>ВЕСОВАЯ КАТЕГОРИЯ   60</t>
  </si>
  <si>
    <t>Рубцов Данила</t>
  </si>
  <si>
    <t>1. Рубцов Данила</t>
  </si>
  <si>
    <t>Юноши 16 - 17 (14.09.2003)/16</t>
  </si>
  <si>
    <t>57,90</t>
  </si>
  <si>
    <t xml:space="preserve">Олимп. Беларусь </t>
  </si>
  <si>
    <t xml:space="preserve">Могилев/ </t>
  </si>
  <si>
    <t>90,0</t>
  </si>
  <si>
    <t>110,0</t>
  </si>
  <si>
    <t>75,0</t>
  </si>
  <si>
    <t>125,0</t>
  </si>
  <si>
    <t>145,0</t>
  </si>
  <si>
    <t xml:space="preserve">Лосяков Александр Борисович </t>
  </si>
  <si>
    <t>ВЕСОВАЯ КАТЕГОРИЯ   82.5</t>
  </si>
  <si>
    <t>Федосенко Максим</t>
  </si>
  <si>
    <t>1. Федосенко Максим</t>
  </si>
  <si>
    <t>Юноши 14-15 (17.02.2004)/15</t>
  </si>
  <si>
    <t>76,90</t>
  </si>
  <si>
    <t>140,0</t>
  </si>
  <si>
    <t>150,0</t>
  </si>
  <si>
    <t>165,0</t>
  </si>
  <si>
    <t>Трубянков Кирилл</t>
  </si>
  <si>
    <t>2. Трубянков Кирилл</t>
  </si>
  <si>
    <t>Юноши 14-15 (17.03.2005)/14</t>
  </si>
  <si>
    <t>80,75</t>
  </si>
  <si>
    <t>102,5</t>
  </si>
  <si>
    <t>60,0</t>
  </si>
  <si>
    <t>65,0</t>
  </si>
  <si>
    <t>Путято Кирилл</t>
  </si>
  <si>
    <t>3. Путято Кирилл</t>
  </si>
  <si>
    <t>Юноши 14-15 (06.08.2005)/14</t>
  </si>
  <si>
    <t>78,00</t>
  </si>
  <si>
    <t>105,0</t>
  </si>
  <si>
    <t>115,0</t>
  </si>
  <si>
    <t>Литвинов Михаил</t>
  </si>
  <si>
    <t>1. Литвинов Михаил</t>
  </si>
  <si>
    <t>Открытая (12.04.1983)/36</t>
  </si>
  <si>
    <t>106,60</t>
  </si>
  <si>
    <t xml:space="preserve">Go Hard </t>
  </si>
  <si>
    <t xml:space="preserve">Мирный/Якутия </t>
  </si>
  <si>
    <t>180,0</t>
  </si>
  <si>
    <t>190,0</t>
  </si>
  <si>
    <t>200,0</t>
  </si>
  <si>
    <t>220,0</t>
  </si>
  <si>
    <t>235,0</t>
  </si>
  <si>
    <t xml:space="preserve"> </t>
  </si>
  <si>
    <t xml:space="preserve">Женщины </t>
  </si>
  <si>
    <t>56</t>
  </si>
  <si>
    <t>192,2130</t>
  </si>
  <si>
    <t xml:space="preserve">Юноши </t>
  </si>
  <si>
    <t xml:space="preserve">Юноши 16 - 17 </t>
  </si>
  <si>
    <t>60</t>
  </si>
  <si>
    <t>345,0</t>
  </si>
  <si>
    <t>328,9164</t>
  </si>
  <si>
    <t xml:space="preserve">Юноши 14-15 </t>
  </si>
  <si>
    <t>82.5</t>
  </si>
  <si>
    <t>415,0</t>
  </si>
  <si>
    <t>319,1375</t>
  </si>
  <si>
    <t>310,0</t>
  </si>
  <si>
    <t>245,8622</t>
  </si>
  <si>
    <t>317,5</t>
  </si>
  <si>
    <t>245,5231</t>
  </si>
  <si>
    <t>565,0</t>
  </si>
  <si>
    <t>305,7215</t>
  </si>
  <si>
    <t xml:space="preserve">41(12+8+9+12) </t>
  </si>
  <si>
    <t xml:space="preserve">Рубцов Данила, Путято Кирилл, Трубянков Кирилл, Федосенко Максим </t>
  </si>
  <si>
    <t xml:space="preserve">Литвинов Михаил </t>
  </si>
  <si>
    <t xml:space="preserve">Калинина Дарья </t>
  </si>
  <si>
    <t>ВЕСОВАЯ КАТЕГОРИЯ   75</t>
  </si>
  <si>
    <t>Соловьянова Галина</t>
  </si>
  <si>
    <t>1. Соловьянова Галина</t>
  </si>
  <si>
    <t>Мастера 40 - 44 (14.08.1975)/44</t>
  </si>
  <si>
    <t>74,10</t>
  </si>
  <si>
    <t>72,5</t>
  </si>
  <si>
    <t>77,5</t>
  </si>
  <si>
    <t>112,5</t>
  </si>
  <si>
    <t>ВЕСОВАЯ КАТЕГОРИЯ   125</t>
  </si>
  <si>
    <t>Данченков Роман</t>
  </si>
  <si>
    <t>1. Данченков Роман</t>
  </si>
  <si>
    <t>Открытая (08.10.1985)/34</t>
  </si>
  <si>
    <t>113,70</t>
  </si>
  <si>
    <t xml:space="preserve">Смоленск/Смоленская область </t>
  </si>
  <si>
    <t>160,0</t>
  </si>
  <si>
    <t>167,5</t>
  </si>
  <si>
    <t>172,5</t>
  </si>
  <si>
    <t>245,0</t>
  </si>
  <si>
    <t xml:space="preserve">Попов Александр </t>
  </si>
  <si>
    <t xml:space="preserve">Мастера </t>
  </si>
  <si>
    <t xml:space="preserve">Мастера 40 - 44 </t>
  </si>
  <si>
    <t>75</t>
  </si>
  <si>
    <t>297,5</t>
  </si>
  <si>
    <t>223,3707</t>
  </si>
  <si>
    <t>125</t>
  </si>
  <si>
    <t>622,5</t>
  </si>
  <si>
    <t>331,5435</t>
  </si>
  <si>
    <t>ВЕСОВАЯ КАТЕГОРИЯ   67.5</t>
  </si>
  <si>
    <t>Лученков Иван</t>
  </si>
  <si>
    <t>1. Лученков Иван</t>
  </si>
  <si>
    <t>Открытая (30.03.1991)/28</t>
  </si>
  <si>
    <t>67,50</t>
  </si>
  <si>
    <t xml:space="preserve">Стальное звено </t>
  </si>
  <si>
    <t>Зубарев Андрей</t>
  </si>
  <si>
    <t>1. Зубарев Андрей</t>
  </si>
  <si>
    <t>Открытая (06.01.1985)/34</t>
  </si>
  <si>
    <t>73,20</t>
  </si>
  <si>
    <t xml:space="preserve">Белгород/Белгородская область </t>
  </si>
  <si>
    <t xml:space="preserve">Рядинский Денис </t>
  </si>
  <si>
    <t>Кувшинов Виталий</t>
  </si>
  <si>
    <t>2. Кувшинов Виталий</t>
  </si>
  <si>
    <t>Открытая (05.08.1988)/31</t>
  </si>
  <si>
    <t>70,45</t>
  </si>
  <si>
    <t xml:space="preserve">Лаптинский Александр </t>
  </si>
  <si>
    <t>Лосяков Альберт</t>
  </si>
  <si>
    <t>1. Лосяков Альберт</t>
  </si>
  <si>
    <t>Открытая (11.02.1994)/25</t>
  </si>
  <si>
    <t>81,50</t>
  </si>
  <si>
    <t>135,0</t>
  </si>
  <si>
    <t>ВЕСОВАЯ КАТЕГОРИЯ   90</t>
  </si>
  <si>
    <t>Галковский Сергей</t>
  </si>
  <si>
    <t>1. Галковский Сергей</t>
  </si>
  <si>
    <t>Мастера 45 - 49 (24.09.1972)/47</t>
  </si>
  <si>
    <t>89,50</t>
  </si>
  <si>
    <t>142,5</t>
  </si>
  <si>
    <t>ВЕСОВАЯ КАТЕГОРИЯ   100</t>
  </si>
  <si>
    <t>Албаев Рафаиль</t>
  </si>
  <si>
    <t>1. Албаев Рафаиль</t>
  </si>
  <si>
    <t>Открытая (23.03.1980)/39</t>
  </si>
  <si>
    <t>96,00</t>
  </si>
  <si>
    <t>155,0</t>
  </si>
  <si>
    <t xml:space="preserve">Шерман Дмитрий </t>
  </si>
  <si>
    <t>Лосяков Александр</t>
  </si>
  <si>
    <t>1. Лосяков Александр</t>
  </si>
  <si>
    <t>Мастера 50 - 54 (27.09.1965)/54</t>
  </si>
  <si>
    <t>99,70</t>
  </si>
  <si>
    <t>147,5</t>
  </si>
  <si>
    <t>Буйневич Игорь</t>
  </si>
  <si>
    <t>1. Буйневич Игорь</t>
  </si>
  <si>
    <t>Открытая (05.01.1990)/29</t>
  </si>
  <si>
    <t>106,40</t>
  </si>
  <si>
    <t xml:space="preserve">ЦФО Олимп </t>
  </si>
  <si>
    <t>Юрасов Антон</t>
  </si>
  <si>
    <t>2. Юрасов Антон</t>
  </si>
  <si>
    <t>Открытая (12.12.1986)/32</t>
  </si>
  <si>
    <t>106,00</t>
  </si>
  <si>
    <t>Дорофеев Александр</t>
  </si>
  <si>
    <t>1. Дорофеев Александр</t>
  </si>
  <si>
    <t>Открытая (26.02.1990)/29</t>
  </si>
  <si>
    <t>116,30</t>
  </si>
  <si>
    <t xml:space="preserve">Воронеж/Воронежская область </t>
  </si>
  <si>
    <t>67.5</t>
  </si>
  <si>
    <t>99,7975</t>
  </si>
  <si>
    <t>97,4520</t>
  </si>
  <si>
    <t>95,4360</t>
  </si>
  <si>
    <t>93,1425</t>
  </si>
  <si>
    <t>100</t>
  </si>
  <si>
    <t>90,3680</t>
  </si>
  <si>
    <t>89,4465</t>
  </si>
  <si>
    <t>87,4440</t>
  </si>
  <si>
    <t>83,9160</t>
  </si>
  <si>
    <t xml:space="preserve">Мастера 50 - 54 </t>
  </si>
  <si>
    <t>110,6826</t>
  </si>
  <si>
    <t xml:space="preserve">Мастера 45 - 49 </t>
  </si>
  <si>
    <t>90</t>
  </si>
  <si>
    <t>91,3898</t>
  </si>
  <si>
    <t xml:space="preserve">45(12+12+9+12) </t>
  </si>
  <si>
    <t xml:space="preserve">Лученков Иван, Зубарев Андрей, Кувшинов Виталий, Дорофеев Александр </t>
  </si>
  <si>
    <t xml:space="preserve">36(12+12+12) </t>
  </si>
  <si>
    <t xml:space="preserve">Лосяков Альберт, Галковский Сергей, Лосяков Александр </t>
  </si>
  <si>
    <t xml:space="preserve">21(9+12) </t>
  </si>
  <si>
    <t xml:space="preserve">Юрасов Антон, Албаев Рафаиль </t>
  </si>
  <si>
    <t xml:space="preserve">Буйневич Игорь </t>
  </si>
  <si>
    <t>Результат</t>
  </si>
  <si>
    <t>Мацур Виктор</t>
  </si>
  <si>
    <t>1. Мацур Виктор</t>
  </si>
  <si>
    <t>Открытая (03.06.1965)/54</t>
  </si>
  <si>
    <t>110,00</t>
  </si>
  <si>
    <t>Маркелов Юрий</t>
  </si>
  <si>
    <t>2. Маркелов Юрий</t>
  </si>
  <si>
    <t>Открытая (14.08.1982)/37</t>
  </si>
  <si>
    <t>105,50</t>
  </si>
  <si>
    <t>Мастера 50 - 54 (03.06.1965)/54</t>
  </si>
  <si>
    <t>89,8637</t>
  </si>
  <si>
    <t>89,5785</t>
  </si>
  <si>
    <t>119,5188</t>
  </si>
  <si>
    <t xml:space="preserve">24(12+12) </t>
  </si>
  <si>
    <t xml:space="preserve">Мацур Виктор, Мацур Виктор </t>
  </si>
  <si>
    <t xml:space="preserve">9(9) </t>
  </si>
  <si>
    <t xml:space="preserve">Маркелов Юрий </t>
  </si>
  <si>
    <t>Чкалов Игорь</t>
  </si>
  <si>
    <t>1. Чкалов Игорь</t>
  </si>
  <si>
    <t>Открытая (08.09.1992)/27</t>
  </si>
  <si>
    <t>72,90</t>
  </si>
  <si>
    <t xml:space="preserve">Витебск/ </t>
  </si>
  <si>
    <t xml:space="preserve">Блинер Алексей Михайлович </t>
  </si>
  <si>
    <t>84,9625</t>
  </si>
  <si>
    <t>ВЕСОВАЯ КАТЕГОРИЯ   48</t>
  </si>
  <si>
    <t>Квитченко Диана</t>
  </si>
  <si>
    <t>1. Квитченко Диана</t>
  </si>
  <si>
    <t>Открытая (22.08.1983)/36</t>
  </si>
  <si>
    <t>47,80</t>
  </si>
  <si>
    <t xml:space="preserve">Обнинск/Калужская область </t>
  </si>
  <si>
    <t>45,0</t>
  </si>
  <si>
    <t>50,0</t>
  </si>
  <si>
    <t>55,0</t>
  </si>
  <si>
    <t xml:space="preserve">Иванов Алексей </t>
  </si>
  <si>
    <t>Орлова Ирина</t>
  </si>
  <si>
    <t>1. Орлова Ирина</t>
  </si>
  <si>
    <t>Мастера 45 - 49 (30.07.1974)/45</t>
  </si>
  <si>
    <t>52,45</t>
  </si>
  <si>
    <t xml:space="preserve">Гомель/ </t>
  </si>
  <si>
    <t>57,5</t>
  </si>
  <si>
    <t>62,5</t>
  </si>
  <si>
    <t xml:space="preserve">Овсянников Григорий </t>
  </si>
  <si>
    <t>Лебедева Наталья</t>
  </si>
  <si>
    <t>2. Лебедева Наталья</t>
  </si>
  <si>
    <t>Мастера 45 - 49 (01.03.1974)/45</t>
  </si>
  <si>
    <t>52,70</t>
  </si>
  <si>
    <t xml:space="preserve">Чкалов Игорь </t>
  </si>
  <si>
    <t>ВЕСОВАЯ КАТЕГОРИЯ   52</t>
  </si>
  <si>
    <t>Нестерова Галина</t>
  </si>
  <si>
    <t>1. Нестерова Галина</t>
  </si>
  <si>
    <t>Юноши 18 - 19 (06.12.1999)/19</t>
  </si>
  <si>
    <t>51,40</t>
  </si>
  <si>
    <t>30,0</t>
  </si>
  <si>
    <t>Платонов Владимир</t>
  </si>
  <si>
    <t>1. Платонов Владимир</t>
  </si>
  <si>
    <t>Открытая (12.09.1984)/35</t>
  </si>
  <si>
    <t>59,55</t>
  </si>
  <si>
    <t>Филимонов Игорь</t>
  </si>
  <si>
    <t>-. Филимонов Игорь</t>
  </si>
  <si>
    <t>Мастера 40 - 44 (18.09.1979)/40</t>
  </si>
  <si>
    <t>66,95</t>
  </si>
  <si>
    <t>0,0</t>
  </si>
  <si>
    <t>-. Шуляк Станислав</t>
  </si>
  <si>
    <t>Юниоры 20 - 23 (22.05.1997)/22</t>
  </si>
  <si>
    <t>79,50</t>
  </si>
  <si>
    <t>Шерман Дмитрий</t>
  </si>
  <si>
    <t>1. Шерман Дмитрий</t>
  </si>
  <si>
    <t>Мастера 55 - 59 (28.05.1964)/55</t>
  </si>
  <si>
    <t>79,00</t>
  </si>
  <si>
    <t>Козлов Алексей</t>
  </si>
  <si>
    <t>1. Козлов Алексей</t>
  </si>
  <si>
    <t>Открытая (18.05.1982)/37</t>
  </si>
  <si>
    <t>88,75</t>
  </si>
  <si>
    <t xml:space="preserve">Орша </t>
  </si>
  <si>
    <t>195,0</t>
  </si>
  <si>
    <t xml:space="preserve">Мацур Виктор </t>
  </si>
  <si>
    <t>Сельченко Игорь</t>
  </si>
  <si>
    <t>2. Сельченко Игорь</t>
  </si>
  <si>
    <t>Открытая (01.07.1974)/45</t>
  </si>
  <si>
    <t>86,95</t>
  </si>
  <si>
    <t>1. Сельченко Игорь</t>
  </si>
  <si>
    <t>Мастера 45 - 49 (01.07.1974)/45</t>
  </si>
  <si>
    <t>2. Галковский Сергей</t>
  </si>
  <si>
    <t>Сидоренко Алексей</t>
  </si>
  <si>
    <t>1. Сидоренко Алексей</t>
  </si>
  <si>
    <t>Юниоры 20 - 23 (18.12.1998)/20</t>
  </si>
  <si>
    <t>95,80</t>
  </si>
  <si>
    <t>162,5</t>
  </si>
  <si>
    <t>Самусев Александр</t>
  </si>
  <si>
    <t>1. Самусев Александр</t>
  </si>
  <si>
    <t>Открытая (16.07.1986)/33</t>
  </si>
  <si>
    <t>99,60</t>
  </si>
  <si>
    <t>Коцыло Филипп</t>
  </si>
  <si>
    <t>2. Коцыло Филипп</t>
  </si>
  <si>
    <t>Открытая (10.05.1993)/26</t>
  </si>
  <si>
    <t>92,95</t>
  </si>
  <si>
    <t>Ермошин Сергей</t>
  </si>
  <si>
    <t>3. Ермошин Сергей</t>
  </si>
  <si>
    <t>Открытая (14.09.1986)/33</t>
  </si>
  <si>
    <t>97,55</t>
  </si>
  <si>
    <t>Шевченко Александр</t>
  </si>
  <si>
    <t>4. Шевченко Александр</t>
  </si>
  <si>
    <t>Открытая (30.01.1989)/30</t>
  </si>
  <si>
    <t>90,85</t>
  </si>
  <si>
    <t>Полужанов Артем</t>
  </si>
  <si>
    <t>1. Полужанов Артем</t>
  </si>
  <si>
    <t>Открытая (25.09.1993)/26</t>
  </si>
  <si>
    <t>100,50</t>
  </si>
  <si>
    <t>205,0</t>
  </si>
  <si>
    <t>2. Буйневич Игорь</t>
  </si>
  <si>
    <t>Молчанов Сергей</t>
  </si>
  <si>
    <t>3. Молчанов Сергей</t>
  </si>
  <si>
    <t>Открытая (15.03.1973)/46</t>
  </si>
  <si>
    <t>107,80</t>
  </si>
  <si>
    <t>4. Юрасов Антон</t>
  </si>
  <si>
    <t>175,0</t>
  </si>
  <si>
    <t>Дурнов Дмитрий</t>
  </si>
  <si>
    <t>5. Дурнов Дмитрий</t>
  </si>
  <si>
    <t>Открытая (01.09.1985)/34</t>
  </si>
  <si>
    <t>101,60</t>
  </si>
  <si>
    <t>Жегульский Алексей</t>
  </si>
  <si>
    <t>2. Жегульский Алексей</t>
  </si>
  <si>
    <t>Открытая (27.02.1984)/35</t>
  </si>
  <si>
    <t>120,30</t>
  </si>
  <si>
    <t xml:space="preserve">Селявкин Дмитрий </t>
  </si>
  <si>
    <t>Васильцов Александр</t>
  </si>
  <si>
    <t>3. Васильцов Александр</t>
  </si>
  <si>
    <t>Открытая (23.01.1983)/36</t>
  </si>
  <si>
    <t>122,00</t>
  </si>
  <si>
    <t>182,5</t>
  </si>
  <si>
    <t>Песков Иван</t>
  </si>
  <si>
    <t>4. Песков Иван</t>
  </si>
  <si>
    <t>Открытая (16.08.1993)/26</t>
  </si>
  <si>
    <t>118,60</t>
  </si>
  <si>
    <t>48</t>
  </si>
  <si>
    <t>51,8950</t>
  </si>
  <si>
    <t>63,0437</t>
  </si>
  <si>
    <t>40,1908</t>
  </si>
  <si>
    <t xml:space="preserve">Юноши 18 - 19 </t>
  </si>
  <si>
    <t>52</t>
  </si>
  <si>
    <t>30,0924</t>
  </si>
  <si>
    <t xml:space="preserve">Юниоры </t>
  </si>
  <si>
    <t xml:space="preserve">Юниоры 20 - 23 </t>
  </si>
  <si>
    <t>94,6338</t>
  </si>
  <si>
    <t>115,1085</t>
  </si>
  <si>
    <t>113,3445</t>
  </si>
  <si>
    <t>106,0400</t>
  </si>
  <si>
    <t>105,5730</t>
  </si>
  <si>
    <t>105,2410</t>
  </si>
  <si>
    <t>98,2230</t>
  </si>
  <si>
    <t>97,0740</t>
  </si>
  <si>
    <t>96,2371</t>
  </si>
  <si>
    <t>95,6800</t>
  </si>
  <si>
    <t>94,8060</t>
  </si>
  <si>
    <t>94,3500</t>
  </si>
  <si>
    <t>93,8586</t>
  </si>
  <si>
    <t>92,1570</t>
  </si>
  <si>
    <t>91,8575</t>
  </si>
  <si>
    <t>88,0640</t>
  </si>
  <si>
    <t>81,8865</t>
  </si>
  <si>
    <t>75,6730</t>
  </si>
  <si>
    <t>73,7280</t>
  </si>
  <si>
    <t xml:space="preserve">Мастера 55 - 59 </t>
  </si>
  <si>
    <t>123,4162</t>
  </si>
  <si>
    <t>100,2726</t>
  </si>
  <si>
    <t>96,1997</t>
  </si>
  <si>
    <t>Кунц Дмитрий</t>
  </si>
  <si>
    <t>1. Кунц Дмитрий</t>
  </si>
  <si>
    <t>Открытая (11.03.1994)/25</t>
  </si>
  <si>
    <t>88,30</t>
  </si>
  <si>
    <t xml:space="preserve">Брест/ </t>
  </si>
  <si>
    <t>Заякин Иван</t>
  </si>
  <si>
    <t>2. Заякин Иван</t>
  </si>
  <si>
    <t>Открытая (24.05.1983)/36</t>
  </si>
  <si>
    <t>87,90</t>
  </si>
  <si>
    <t>Яневич Дмитрий</t>
  </si>
  <si>
    <t>1. Яневич Дмитрий</t>
  </si>
  <si>
    <t>Мастера 45 - 49 (25.03.1974)/45</t>
  </si>
  <si>
    <t>89,25</t>
  </si>
  <si>
    <t xml:space="preserve">Клуб Софит </t>
  </si>
  <si>
    <t xml:space="preserve">Полоцк/ </t>
  </si>
  <si>
    <t>Щербаков Александр</t>
  </si>
  <si>
    <t>1. Щербаков Александр</t>
  </si>
  <si>
    <t>Открытая (04.01.1984)/35</t>
  </si>
  <si>
    <t>92,50</t>
  </si>
  <si>
    <t xml:space="preserve">Тренажерный зал Железный Мир </t>
  </si>
  <si>
    <t xml:space="preserve">Калуга/Калужская область </t>
  </si>
  <si>
    <t xml:space="preserve">Лапушкин Сергей Анатольевич </t>
  </si>
  <si>
    <t>Соколов Владимир</t>
  </si>
  <si>
    <t>2. Соколов Владимир</t>
  </si>
  <si>
    <t>Открытая (29.10.1994)/25</t>
  </si>
  <si>
    <t>96,85</t>
  </si>
  <si>
    <t>Елисеев Андрей</t>
  </si>
  <si>
    <t>1. Елисеев Андрей</t>
  </si>
  <si>
    <t>Мастера 40 - 44 (28.09.1976)/43</t>
  </si>
  <si>
    <t>110,30</t>
  </si>
  <si>
    <t>124,3620</t>
  </si>
  <si>
    <t>112,8410</t>
  </si>
  <si>
    <t>100,8175</t>
  </si>
  <si>
    <t>98,4025</t>
  </si>
  <si>
    <t>124,8704</t>
  </si>
  <si>
    <t>123,3077</t>
  </si>
  <si>
    <t>100,9637</t>
  </si>
  <si>
    <t xml:space="preserve">33(9+12+12) </t>
  </si>
  <si>
    <t xml:space="preserve">Заякин Иван, Кунц Дмитрий, Елисеев Андрей </t>
  </si>
  <si>
    <t xml:space="preserve">21(12+9) </t>
  </si>
  <si>
    <t xml:space="preserve">Мацур Виктор, Соколов Владимир </t>
  </si>
  <si>
    <t xml:space="preserve">Яневич Дмитрий </t>
  </si>
  <si>
    <t xml:space="preserve">Щербаков Александр </t>
  </si>
  <si>
    <t>Белохонов Сергей</t>
  </si>
  <si>
    <t>1. Белохонов Сергей</t>
  </si>
  <si>
    <t>Открытая (01.05.1991)/28</t>
  </si>
  <si>
    <t>87,10</t>
  </si>
  <si>
    <t>225,0</t>
  </si>
  <si>
    <t>137,3790</t>
  </si>
  <si>
    <t xml:space="preserve">Белохонов Сергей </t>
  </si>
  <si>
    <t>Косимов Шахбоз</t>
  </si>
  <si>
    <t>1. Косимов Шахбоз</t>
  </si>
  <si>
    <t>Открытая (11.05.1992)/27</t>
  </si>
  <si>
    <t>94,10</t>
  </si>
  <si>
    <t xml:space="preserve">Ташкент/ </t>
  </si>
  <si>
    <t>262,5</t>
  </si>
  <si>
    <t>270,0</t>
  </si>
  <si>
    <t>154,0890</t>
  </si>
  <si>
    <t>Прокофьев Станислав</t>
  </si>
  <si>
    <t>1. Прокофьев Станислав</t>
  </si>
  <si>
    <t>Открытая (17.02.1989)/30</t>
  </si>
  <si>
    <t>89,85</t>
  </si>
  <si>
    <t>247,5</t>
  </si>
  <si>
    <t>134,7570</t>
  </si>
  <si>
    <t>Ильютин Владислав</t>
  </si>
  <si>
    <t>1. Ильютин Владислав</t>
  </si>
  <si>
    <t>Юноши 18 - 19 (16.12.1999)/19</t>
  </si>
  <si>
    <t>74,40</t>
  </si>
  <si>
    <t xml:space="preserve">БГСК </t>
  </si>
  <si>
    <t>215,0</t>
  </si>
  <si>
    <t xml:space="preserve">Диваков Валерий </t>
  </si>
  <si>
    <t>1. Кувшинов Виталий</t>
  </si>
  <si>
    <t>Гайдо Дмитрий</t>
  </si>
  <si>
    <t>1. Гайдо Дмитрий</t>
  </si>
  <si>
    <t>Юниоры 20 - 23 (31.08.1998)/21</t>
  </si>
  <si>
    <t>79,40</t>
  </si>
  <si>
    <t>197,5</t>
  </si>
  <si>
    <t>207,5</t>
  </si>
  <si>
    <t>217,5</t>
  </si>
  <si>
    <t xml:space="preserve">Сидоенко Алексей </t>
  </si>
  <si>
    <t>Лукьянчиков Владимир</t>
  </si>
  <si>
    <t>1. Лукьянчиков Владимир</t>
  </si>
  <si>
    <t>Мастера 55 - 59 (23.12.1959)/59</t>
  </si>
  <si>
    <t>86,60</t>
  </si>
  <si>
    <t>Барановский Артем</t>
  </si>
  <si>
    <t>1. Барановский Артем</t>
  </si>
  <si>
    <t>Юниоры 20 - 23 (31.12.1995)/23</t>
  </si>
  <si>
    <t>99,15</t>
  </si>
  <si>
    <t>280,0</t>
  </si>
  <si>
    <t>290,0</t>
  </si>
  <si>
    <t>Мазепа Денис</t>
  </si>
  <si>
    <t>1. Мазепа Денис</t>
  </si>
  <si>
    <t>Открытая (18.12.1981)/37</t>
  </si>
  <si>
    <t>97,75</t>
  </si>
  <si>
    <t>142,5668</t>
  </si>
  <si>
    <t>72,7233</t>
  </si>
  <si>
    <t>155,7220</t>
  </si>
  <si>
    <t>141,1853</t>
  </si>
  <si>
    <t>119,0420</t>
  </si>
  <si>
    <t>117,5580</t>
  </si>
  <si>
    <t>104,8950</t>
  </si>
  <si>
    <t>162,0449</t>
  </si>
  <si>
    <t xml:space="preserve">Мазепа Денис, Нестерова Галина, Лукьянчиков Владимир </t>
  </si>
  <si>
    <t xml:space="preserve">Ильютин Владислав </t>
  </si>
  <si>
    <t xml:space="preserve">Барановский Артем </t>
  </si>
  <si>
    <t xml:space="preserve">Кувшинов Виталий </t>
  </si>
  <si>
    <t>1. Шевченко Александр</t>
  </si>
  <si>
    <t>125,1515</t>
  </si>
  <si>
    <t>108,2200</t>
  </si>
  <si>
    <t xml:space="preserve">Шевченко Александр </t>
  </si>
  <si>
    <t>Волохо Андрей</t>
  </si>
  <si>
    <t>1. Волохо Андрей</t>
  </si>
  <si>
    <t>Мастера 40 - 44 (06.07.1975)/44</t>
  </si>
  <si>
    <t>97,50</t>
  </si>
  <si>
    <t>98,2388</t>
  </si>
  <si>
    <t xml:space="preserve">Волохо Андрей </t>
  </si>
  <si>
    <t>124,1080</t>
  </si>
  <si>
    <t>188,8110</t>
  </si>
  <si>
    <t>НАП Н.Ж.</t>
  </si>
  <si>
    <t>Народный жим</t>
  </si>
  <si>
    <t>Бабкин Артем</t>
  </si>
  <si>
    <t>1. Бабкин Артем</t>
  </si>
  <si>
    <t>Открытая (20.04.1992)/27</t>
  </si>
  <si>
    <t>64,90</t>
  </si>
  <si>
    <t xml:space="preserve">Демидов/Смоленская область </t>
  </si>
  <si>
    <t>2. Лученков Иван</t>
  </si>
  <si>
    <t>67,5</t>
  </si>
  <si>
    <t>37,0</t>
  </si>
  <si>
    <t>1. Филимонов Игорь</t>
  </si>
  <si>
    <t>66,85</t>
  </si>
  <si>
    <t>12,0</t>
  </si>
  <si>
    <t>Крупин Александр</t>
  </si>
  <si>
    <t>1. Крупин Александр</t>
  </si>
  <si>
    <t>Мастера 55 - 59 (16.03.1961)/58</t>
  </si>
  <si>
    <t>64,10</t>
  </si>
  <si>
    <t>46,0</t>
  </si>
  <si>
    <t>28,0</t>
  </si>
  <si>
    <t>2. Зубарев Андрей</t>
  </si>
  <si>
    <t>25,0</t>
  </si>
  <si>
    <t>26,0</t>
  </si>
  <si>
    <t>1. Дурнов Дмитрий</t>
  </si>
  <si>
    <t>20,0</t>
  </si>
  <si>
    <t>117,5</t>
  </si>
  <si>
    <t>18,0</t>
  </si>
  <si>
    <t xml:space="preserve">НАП Н.Ж. </t>
  </si>
  <si>
    <t>2600,0</t>
  </si>
  <si>
    <t>2243,5400</t>
  </si>
  <si>
    <t>2497,5</t>
  </si>
  <si>
    <t>2071,9259</t>
  </si>
  <si>
    <t>2030,0</t>
  </si>
  <si>
    <t>1700,9370</t>
  </si>
  <si>
    <t>1875,0</t>
  </si>
  <si>
    <t>1512,0000</t>
  </si>
  <si>
    <t>2050,0</t>
  </si>
  <si>
    <t>1421,4701</t>
  </si>
  <si>
    <t>2115,0</t>
  </si>
  <si>
    <t>1418,5305</t>
  </si>
  <si>
    <t>2990,0</t>
  </si>
  <si>
    <t>2612,0640</t>
  </si>
  <si>
    <t>2080,0</t>
  </si>
  <si>
    <t>1642,9920</t>
  </si>
  <si>
    <t>810,0</t>
  </si>
  <si>
    <t>678,5370</t>
  </si>
  <si>
    <t xml:space="preserve">42(9+9+12+12) </t>
  </si>
  <si>
    <t xml:space="preserve">Шерман Дмитрий, Дурнов Дмитрий </t>
  </si>
  <si>
    <t xml:space="preserve">Крупин Александр </t>
  </si>
  <si>
    <t xml:space="preserve">Филимонов Игорь </t>
  </si>
  <si>
    <t>Вес</t>
  </si>
  <si>
    <t>Повторы</t>
  </si>
  <si>
    <t>Тоннаж</t>
  </si>
  <si>
    <t>47,50</t>
  </si>
  <si>
    <t>1125,0</t>
  </si>
  <si>
    <t>1094,1750</t>
  </si>
  <si>
    <t>Воронин Евгений</t>
  </si>
  <si>
    <t>1. Воронин Евгений</t>
  </si>
  <si>
    <t>Открытая (07.05.1985)/34</t>
  </si>
  <si>
    <t>76,40</t>
  </si>
  <si>
    <t>101,0</t>
  </si>
  <si>
    <t>-. Лукьяненко Алексей</t>
  </si>
  <si>
    <t>Открытая (25.09.1985)/34</t>
  </si>
  <si>
    <t>92,5</t>
  </si>
  <si>
    <t>7827,5</t>
  </si>
  <si>
    <t>6393,5020</t>
  </si>
  <si>
    <t>3700,0</t>
  </si>
  <si>
    <t>2647,3500</t>
  </si>
  <si>
    <t xml:space="preserve">Воронин Евгений </t>
  </si>
  <si>
    <t>Народная становая</t>
  </si>
  <si>
    <t>4500,0</t>
  </si>
  <si>
    <t>3003,7501</t>
  </si>
  <si>
    <t>Жим стоя</t>
  </si>
  <si>
    <t>48,6990</t>
  </si>
  <si>
    <t>Подъем на бицепс</t>
  </si>
  <si>
    <t>Куприй Валерий</t>
  </si>
  <si>
    <t>1. Куприй Валерий</t>
  </si>
  <si>
    <t>Открытая (19.10.1986)/33</t>
  </si>
  <si>
    <t>75,00</t>
  </si>
  <si>
    <t>52,5</t>
  </si>
  <si>
    <t xml:space="preserve">Зубарев Андрей </t>
  </si>
  <si>
    <t>1. Жегульский Алексей</t>
  </si>
  <si>
    <t>46,5680</t>
  </si>
  <si>
    <t>44,7695</t>
  </si>
  <si>
    <t>43,9425</t>
  </si>
  <si>
    <t>40,2097</t>
  </si>
  <si>
    <t>39,8700</t>
  </si>
  <si>
    <t>35,1715</t>
  </si>
  <si>
    <t>57,3004</t>
  </si>
  <si>
    <t>47,6603</t>
  </si>
  <si>
    <t xml:space="preserve">Шерман Дмитрий, Шевченко Александр, Лукьянчиков Владимир </t>
  </si>
  <si>
    <t xml:space="preserve">33(12+9+12) </t>
  </si>
  <si>
    <t xml:space="preserve">Куприй Валерий, Кувшинов Виталий, Жегульский Алексей </t>
  </si>
  <si>
    <t>1. Маркелов Юрий</t>
  </si>
  <si>
    <t>82,5</t>
  </si>
  <si>
    <t>38,0030</t>
  </si>
  <si>
    <t>58,8675</t>
  </si>
  <si>
    <t>52,4058</t>
  </si>
  <si>
    <t>2. Литвинов Михаил</t>
  </si>
  <si>
    <t>92,2930</t>
  </si>
  <si>
    <t>83,8705</t>
  </si>
  <si>
    <t>83,0625</t>
  </si>
  <si>
    <t xml:space="preserve">Куприй Валерий </t>
  </si>
  <si>
    <t>Атлетизм</t>
  </si>
  <si>
    <t>Русский жим</t>
  </si>
  <si>
    <t>ВЕСОВАЯ КАТЕГОРИЯ   All</t>
  </si>
  <si>
    <t>Марченков Сергей</t>
  </si>
  <si>
    <t>1. Марченков Сергей</t>
  </si>
  <si>
    <t>Открытая (21.10.1993)/26</t>
  </si>
  <si>
    <t>81,35</t>
  </si>
  <si>
    <t>52,0</t>
  </si>
  <si>
    <t xml:space="preserve">Атлетизм </t>
  </si>
  <si>
    <t>All</t>
  </si>
  <si>
    <t>2860,0</t>
  </si>
  <si>
    <t>35,1567</t>
  </si>
  <si>
    <t>Русская становая</t>
  </si>
  <si>
    <t>21,0</t>
  </si>
  <si>
    <t>3000,0</t>
  </si>
  <si>
    <t>33,3889</t>
  </si>
  <si>
    <t xml:space="preserve">Мазепа Денис </t>
  </si>
  <si>
    <t>Кубок Европы
Русская станова тяга любители 150 кг.
Смоленск/Смоленская область 24 ноября 2019 г.</t>
  </si>
  <si>
    <t>Кубок Европы
Русский жим любители 55 кг.
Смоленск/Смоленская область 24 ноября 2019 г.</t>
  </si>
  <si>
    <t>Кубок Европы
Пауэрспорт Любители
Смоленск/Смоленская область 24 ноября 2019 г.</t>
  </si>
  <si>
    <t>Кубок Европы
Одиночный подъём штанги на бицепс Профессионалы
Смоленск/Смоленская область 24 ноября 2019 г.</t>
  </si>
  <si>
    <t>Кубок Европы
Одиночный подъём штанги на бицепс Любители
Смоленск/Смоленская область 24 ноября 2019 г.</t>
  </si>
  <si>
    <t>Кубок Европы
Одиночный жим штанги стоя Любители
Смоленск/Смоленская область 24 ноября 2019 г.</t>
  </si>
  <si>
    <t>Кубок Европы
Любители народная становая тяга
Смоленск/Смоленская область 24 ноября 2019 г.</t>
  </si>
  <si>
    <t>Кубок Европы
Профессионалы народный жим (1 вес)
Смоленск/Смоленская область 24 ноября 2019 г.</t>
  </si>
  <si>
    <t>Кубок Европы
Любители народный жим (1/2 вес)
Смоленск/Смоленская область 24 ноября 2019 г.</t>
  </si>
  <si>
    <t>Кубок Европы
Любители народный жим (1 вес)
Смоленск/Смоленская область 24 ноября 2019 г.</t>
  </si>
  <si>
    <t>Кубок Европы
Силовое двоеборье любители
Смоленск/Смоленская область 24 ноября 2019 г.</t>
  </si>
  <si>
    <t>Кубок Европы
ПРО присед в софт экипировке
Смоленск/Смоленская область 24 ноября 2019 г.</t>
  </si>
  <si>
    <t>Кубок Европы
ПРО присед без экипировки
Смоленск/Смоленская область 24 ноября 2019 г.</t>
  </si>
  <si>
    <t>Кубок Европы
Любители присед без экипировки
Смоленск/Смоленская область 24 ноября 2019 г.</t>
  </si>
  <si>
    <t>Кубок Европы
Любители становая тяга без экипировки
Смоленск/Смоленская область 24 ноября 2019 г.</t>
  </si>
  <si>
    <t>Кубок Европы
Любители становая тяга в однослойной экипировке
Смоленск/Смоленская область 24 ноября 2019 г.</t>
  </si>
  <si>
    <t>Кубок Европы
Любители жим лежа в Софт экипировка многопетельная
Смоленск/Смоленская область 24 ноября 2019 г.</t>
  </si>
  <si>
    <t>Кубок Европы
ПРО жим лежа Софт экипировка однопетельная
Смоленск/Смоленская область 24 ноября 2019 г.</t>
  </si>
  <si>
    <t>Кубок Европы
ПРО жим лежа без экипировки
Смоленск/Смоленская область 24 ноября 2019 г.</t>
  </si>
  <si>
    <t>Кубок Европы
Любители жим лежа без экипировки
Смоленск/Смоленская область 24 ноября 2019 г.</t>
  </si>
  <si>
    <t>Кубок Европы
СОВ жим лежа
Смоленск/Смоленская область 24 ноября 2019 г.</t>
  </si>
  <si>
    <t>Кубок Европы
ПРО военный жим
Смоленск/Смоленская область 24 ноября 2019 г.</t>
  </si>
  <si>
    <t>Кубок Европы
Любители военный жим
Смоленск/Смоленская область 24 ноября 2019 г.</t>
  </si>
  <si>
    <t>Кубок Европы
ПРО пауэрлифтинг без экипировки
Смоленск/Смоленская область 24 ноября 2019 г.</t>
  </si>
  <si>
    <t>Кубок Европы
Любители пауэрлифтинг без экипировки
Смоленск/Смоленская область 24 ноября 2019 г.</t>
  </si>
  <si>
    <t>Кубок Европы
ПРО пауэрлифтинг СОФТ - экипировка (СТАНДАРТ)
Смоленск/Смоленская область 24 ноября 2019 г.</t>
  </si>
  <si>
    <t>Кубок Европы
Жимовое двоеборье любители
Смоленск/Смоленская область 24 ноября 2019 г.</t>
  </si>
  <si>
    <t>18</t>
  </si>
  <si>
    <t>218</t>
  </si>
  <si>
    <t>36</t>
  </si>
  <si>
    <t>236</t>
  </si>
  <si>
    <t>Открытая 24 - 39 (25.03.1974)/45</t>
  </si>
  <si>
    <t>Кубок Европы
Жимовое двоеборье ПРО
Смоленск/Смоленская область 24 ноября 2019 г.</t>
  </si>
  <si>
    <t>Мацур В. М.</t>
  </si>
  <si>
    <t>Мацур И.Н.</t>
  </si>
  <si>
    <t>Коробейников Д.Ю.</t>
  </si>
  <si>
    <t>Коробейников М.Ю.</t>
  </si>
  <si>
    <t>Лыков Н.А.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</si>
</sst>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sz val="2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left"/>
    </xf>
    <xf numFmtId="49" fontId="0" fillId="0" borderId="2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4.00390625" style="4" bestFit="1" customWidth="1"/>
    <col min="4" max="4" width="10.625" style="4" bestFit="1" customWidth="1"/>
    <col min="5" max="5" width="22.75390625" style="4" bestFit="1" customWidth="1"/>
    <col min="6" max="6" width="28.875" style="4" bestFit="1" customWidth="1"/>
    <col min="7" max="7" width="5.625" style="3" bestFit="1" customWidth="1"/>
    <col min="8" max="8" width="4.625" style="31" bestFit="1" customWidth="1"/>
    <col min="9" max="9" width="7.875" style="4" bestFit="1" customWidth="1"/>
    <col min="10" max="10" width="7.625" style="3" bestFit="1" customWidth="1"/>
    <col min="11" max="11" width="16.375" style="4" bestFit="1" customWidth="1"/>
    <col min="12" max="16384" width="9.125" style="3" customWidth="1"/>
  </cols>
  <sheetData>
    <row r="1" spans="1:11" s="2" customFormat="1" ht="28.5" customHeight="1">
      <c r="A1" s="50" t="s">
        <v>653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>
      <c r="A3" s="56" t="s">
        <v>0</v>
      </c>
      <c r="B3" s="58" t="s">
        <v>6</v>
      </c>
      <c r="C3" s="58" t="s">
        <v>7</v>
      </c>
      <c r="D3" s="60" t="s">
        <v>636</v>
      </c>
      <c r="E3" s="60" t="s">
        <v>4</v>
      </c>
      <c r="F3" s="60" t="s">
        <v>8</v>
      </c>
      <c r="G3" s="60" t="s">
        <v>648</v>
      </c>
      <c r="H3" s="60"/>
      <c r="I3" s="60" t="s">
        <v>585</v>
      </c>
      <c r="J3" s="60" t="s">
        <v>3</v>
      </c>
      <c r="K3" s="61" t="s">
        <v>2</v>
      </c>
    </row>
    <row r="4" spans="1:11" s="1" customFormat="1" ht="21" customHeight="1" thickBot="1">
      <c r="A4" s="57"/>
      <c r="B4" s="59"/>
      <c r="C4" s="59"/>
      <c r="D4" s="59"/>
      <c r="E4" s="59"/>
      <c r="F4" s="59"/>
      <c r="G4" s="5" t="s">
        <v>583</v>
      </c>
      <c r="H4" s="26" t="s">
        <v>584</v>
      </c>
      <c r="I4" s="59"/>
      <c r="J4" s="59"/>
      <c r="K4" s="62"/>
    </row>
    <row r="5" spans="1:10" ht="15">
      <c r="A5" s="46" t="s">
        <v>196</v>
      </c>
      <c r="B5" s="47"/>
      <c r="C5" s="47"/>
      <c r="D5" s="47"/>
      <c r="E5" s="47"/>
      <c r="F5" s="47"/>
      <c r="G5" s="47"/>
      <c r="H5" s="47"/>
      <c r="I5" s="47"/>
      <c r="J5" s="47"/>
    </row>
    <row r="6" spans="1:11" ht="12.75">
      <c r="A6" s="6" t="s">
        <v>475</v>
      </c>
      <c r="B6" s="6" t="s">
        <v>476</v>
      </c>
      <c r="C6" s="6" t="s">
        <v>477</v>
      </c>
      <c r="D6" s="6" t="str">
        <f>"1,0000"</f>
        <v>1,0000</v>
      </c>
      <c r="E6" s="6" t="s">
        <v>31</v>
      </c>
      <c r="F6" s="6" t="s">
        <v>160</v>
      </c>
      <c r="G6" s="8" t="s">
        <v>98</v>
      </c>
      <c r="H6" s="30" t="s">
        <v>557</v>
      </c>
      <c r="I6" s="6" t="str">
        <f>"3000,0"</f>
        <v>3000,0</v>
      </c>
      <c r="J6" s="8" t="str">
        <f>"33,3889"</f>
        <v>33,3889</v>
      </c>
      <c r="K6" s="6" t="s">
        <v>124</v>
      </c>
    </row>
    <row r="8" spans="1:10" ht="15">
      <c r="A8" s="48" t="s">
        <v>202</v>
      </c>
      <c r="B8" s="49"/>
      <c r="C8" s="49"/>
      <c r="D8" s="49"/>
      <c r="E8" s="49"/>
      <c r="F8" s="49"/>
      <c r="G8" s="49"/>
      <c r="H8" s="49"/>
      <c r="I8" s="49"/>
      <c r="J8" s="49"/>
    </row>
    <row r="9" spans="1:11" ht="12.75">
      <c r="A9" s="17" t="s">
        <v>507</v>
      </c>
      <c r="B9" s="17" t="s">
        <v>508</v>
      </c>
      <c r="C9" s="17" t="s">
        <v>509</v>
      </c>
      <c r="D9" s="17" t="str">
        <f>"0,6771"</f>
        <v>0,6771</v>
      </c>
      <c r="E9" s="17" t="s">
        <v>69</v>
      </c>
      <c r="F9" s="17" t="s">
        <v>32</v>
      </c>
      <c r="G9" s="18" t="s">
        <v>98</v>
      </c>
      <c r="H9" s="27" t="s">
        <v>649</v>
      </c>
      <c r="I9" s="17" t="str">
        <f>"3150,0"</f>
        <v>3150,0</v>
      </c>
      <c r="J9" s="18" t="str">
        <f>"32,2250"</f>
        <v>32,2250</v>
      </c>
      <c r="K9" s="17" t="s">
        <v>208</v>
      </c>
    </row>
    <row r="10" spans="1:11" ht="12.75">
      <c r="A10" s="40"/>
      <c r="B10" s="40"/>
      <c r="C10" s="40"/>
      <c r="D10" s="40"/>
      <c r="E10" s="40"/>
      <c r="F10" s="40"/>
      <c r="G10" s="41"/>
      <c r="H10" s="42"/>
      <c r="I10" s="40"/>
      <c r="J10" s="41"/>
      <c r="K10" s="40"/>
    </row>
    <row r="11" spans="5:6" ht="15">
      <c r="E11" s="9" t="s">
        <v>40</v>
      </c>
      <c r="F11" s="45" t="s">
        <v>686</v>
      </c>
    </row>
    <row r="12" spans="5:6" ht="15">
      <c r="E12" s="9" t="s">
        <v>41</v>
      </c>
      <c r="F12" s="45" t="s">
        <v>687</v>
      </c>
    </row>
    <row r="13" spans="5:6" ht="15">
      <c r="E13" s="9" t="s">
        <v>42</v>
      </c>
      <c r="F13" s="45" t="s">
        <v>688</v>
      </c>
    </row>
    <row r="14" spans="5:6" ht="15">
      <c r="E14" s="9" t="s">
        <v>43</v>
      </c>
      <c r="F14" s="45" t="s">
        <v>689</v>
      </c>
    </row>
    <row r="15" spans="5:6" ht="15">
      <c r="E15" s="9" t="s">
        <v>43</v>
      </c>
      <c r="F15" s="45" t="s">
        <v>690</v>
      </c>
    </row>
    <row r="16" ht="15">
      <c r="E16" s="9"/>
    </row>
    <row r="17" ht="15">
      <c r="E17" s="9"/>
    </row>
    <row r="19" spans="1:2" ht="18">
      <c r="A19" s="10" t="s">
        <v>44</v>
      </c>
      <c r="B19" s="10"/>
    </row>
    <row r="20" spans="1:2" ht="15">
      <c r="A20" s="11" t="s">
        <v>45</v>
      </c>
      <c r="B20" s="11"/>
    </row>
    <row r="21" spans="1:2" ht="14.25">
      <c r="A21" s="13"/>
      <c r="B21" s="14" t="s">
        <v>46</v>
      </c>
    </row>
    <row r="22" spans="1:5" ht="15">
      <c r="A22" s="15" t="s">
        <v>47</v>
      </c>
      <c r="B22" s="15" t="s">
        <v>48</v>
      </c>
      <c r="C22" s="15" t="s">
        <v>49</v>
      </c>
      <c r="D22" s="15" t="s">
        <v>50</v>
      </c>
      <c r="E22" s="15" t="s">
        <v>644</v>
      </c>
    </row>
    <row r="23" spans="1:5" ht="12.75">
      <c r="A23" s="12" t="s">
        <v>474</v>
      </c>
      <c r="B23" s="4" t="s">
        <v>46</v>
      </c>
      <c r="C23" s="4" t="s">
        <v>645</v>
      </c>
      <c r="D23" s="4" t="s">
        <v>650</v>
      </c>
      <c r="E23" s="16" t="s">
        <v>651</v>
      </c>
    </row>
    <row r="28" spans="1:2" ht="18">
      <c r="A28" s="10" t="s">
        <v>58</v>
      </c>
      <c r="B28" s="10"/>
    </row>
    <row r="29" spans="1:3" ht="15">
      <c r="A29" s="15" t="s">
        <v>59</v>
      </c>
      <c r="B29" s="15" t="s">
        <v>60</v>
      </c>
      <c r="C29" s="15" t="s">
        <v>61</v>
      </c>
    </row>
    <row r="30" spans="1:3" ht="12.75">
      <c r="A30" s="4" t="s">
        <v>69</v>
      </c>
      <c r="B30" s="4" t="s">
        <v>62</v>
      </c>
      <c r="C30" s="4" t="s">
        <v>652</v>
      </c>
    </row>
  </sheetData>
  <sheetProtection/>
  <mergeCells count="13">
    <mergeCell ref="A5:J5"/>
    <mergeCell ref="A8:J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D7">
      <selection activeCell="E29" sqref="E29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68.875" style="4" bestFit="1" customWidth="1"/>
    <col min="4" max="4" width="10.75390625" style="4" bestFit="1" customWidth="1"/>
    <col min="5" max="5" width="22.75390625" style="4" bestFit="1" customWidth="1"/>
    <col min="6" max="6" width="30.25390625" style="4" bestFit="1" customWidth="1"/>
    <col min="7" max="7" width="5.625" style="3" bestFit="1" customWidth="1"/>
    <col min="8" max="8" width="4.625" style="31" bestFit="1" customWidth="1"/>
    <col min="9" max="9" width="7.875" style="4" bestFit="1" customWidth="1"/>
    <col min="10" max="10" width="9.625" style="3" bestFit="1" customWidth="1"/>
    <col min="11" max="11" width="29.00390625" style="4" bestFit="1" customWidth="1"/>
    <col min="12" max="16384" width="9.125" style="3" customWidth="1"/>
  </cols>
  <sheetData>
    <row r="1" spans="1:11" s="2" customFormat="1" ht="28.5" customHeight="1">
      <c r="A1" s="50" t="s">
        <v>662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>
      <c r="A3" s="56" t="s">
        <v>0</v>
      </c>
      <c r="B3" s="58" t="s">
        <v>6</v>
      </c>
      <c r="C3" s="58" t="s">
        <v>7</v>
      </c>
      <c r="D3" s="60" t="s">
        <v>534</v>
      </c>
      <c r="E3" s="60" t="s">
        <v>4</v>
      </c>
      <c r="F3" s="60" t="s">
        <v>8</v>
      </c>
      <c r="G3" s="60" t="s">
        <v>535</v>
      </c>
      <c r="H3" s="60"/>
      <c r="I3" s="60" t="s">
        <v>585</v>
      </c>
      <c r="J3" s="60" t="s">
        <v>3</v>
      </c>
      <c r="K3" s="61" t="s">
        <v>2</v>
      </c>
    </row>
    <row r="4" spans="1:11" s="1" customFormat="1" ht="21" customHeight="1" thickBot="1">
      <c r="A4" s="57"/>
      <c r="B4" s="59"/>
      <c r="C4" s="59"/>
      <c r="D4" s="59"/>
      <c r="E4" s="59"/>
      <c r="F4" s="59"/>
      <c r="G4" s="5" t="s">
        <v>583</v>
      </c>
      <c r="H4" s="26" t="s">
        <v>584</v>
      </c>
      <c r="I4" s="59"/>
      <c r="J4" s="59"/>
      <c r="K4" s="62"/>
    </row>
    <row r="5" spans="1:10" ht="15">
      <c r="A5" s="46" t="s">
        <v>174</v>
      </c>
      <c r="B5" s="47"/>
      <c r="C5" s="47"/>
      <c r="D5" s="47"/>
      <c r="E5" s="47"/>
      <c r="F5" s="47"/>
      <c r="G5" s="47"/>
      <c r="H5" s="47"/>
      <c r="I5" s="47"/>
      <c r="J5" s="47"/>
    </row>
    <row r="6" spans="1:11" ht="12.75">
      <c r="A6" s="17" t="s">
        <v>537</v>
      </c>
      <c r="B6" s="17" t="s">
        <v>538</v>
      </c>
      <c r="C6" s="17" t="s">
        <v>539</v>
      </c>
      <c r="D6" s="17" t="str">
        <f>"0,8629"</f>
        <v>0,8629</v>
      </c>
      <c r="E6" s="17" t="s">
        <v>31</v>
      </c>
      <c r="F6" s="17" t="s">
        <v>540</v>
      </c>
      <c r="G6" s="18" t="s">
        <v>106</v>
      </c>
      <c r="H6" s="27" t="s">
        <v>73</v>
      </c>
      <c r="I6" s="17" t="str">
        <f>"2600,0"</f>
        <v>2600,0</v>
      </c>
      <c r="J6" s="18" t="str">
        <f>"2243,5400"</f>
        <v>2243,5400</v>
      </c>
      <c r="K6" s="17" t="s">
        <v>124</v>
      </c>
    </row>
    <row r="7" spans="1:11" ht="12.75">
      <c r="A7" s="20" t="s">
        <v>541</v>
      </c>
      <c r="B7" s="20" t="s">
        <v>177</v>
      </c>
      <c r="C7" s="20" t="s">
        <v>178</v>
      </c>
      <c r="D7" s="20" t="str">
        <f>"0,8296"</f>
        <v>0,8296</v>
      </c>
      <c r="E7" s="20" t="s">
        <v>179</v>
      </c>
      <c r="F7" s="20" t="s">
        <v>160</v>
      </c>
      <c r="G7" s="21" t="s">
        <v>542</v>
      </c>
      <c r="H7" s="28" t="s">
        <v>543</v>
      </c>
      <c r="I7" s="20" t="str">
        <f>"2497,5"</f>
        <v>2497,5</v>
      </c>
      <c r="J7" s="21" t="str">
        <f>"2071,9259"</f>
        <v>2071,9259</v>
      </c>
      <c r="K7" s="20" t="s">
        <v>124</v>
      </c>
    </row>
    <row r="8" spans="1:11" ht="12.75">
      <c r="A8" s="20" t="s">
        <v>544</v>
      </c>
      <c r="B8" s="20" t="s">
        <v>309</v>
      </c>
      <c r="C8" s="20" t="s">
        <v>545</v>
      </c>
      <c r="D8" s="20" t="str">
        <f>"0,8377"</f>
        <v>0,8377</v>
      </c>
      <c r="E8" s="20" t="s">
        <v>84</v>
      </c>
      <c r="F8" s="20" t="s">
        <v>85</v>
      </c>
      <c r="G8" s="21" t="s">
        <v>542</v>
      </c>
      <c r="H8" s="28" t="s">
        <v>546</v>
      </c>
      <c r="I8" s="20" t="str">
        <f>"810,0"</f>
        <v>810,0</v>
      </c>
      <c r="J8" s="21" t="str">
        <f>"678,5370"</f>
        <v>678,5370</v>
      </c>
      <c r="K8" s="20" t="s">
        <v>91</v>
      </c>
    </row>
    <row r="9" spans="1:11" ht="12.75">
      <c r="A9" s="23" t="s">
        <v>548</v>
      </c>
      <c r="B9" s="23" t="s">
        <v>549</v>
      </c>
      <c r="C9" s="23" t="s">
        <v>550</v>
      </c>
      <c r="D9" s="23" t="str">
        <f>"0,8736"</f>
        <v>0,8736</v>
      </c>
      <c r="E9" s="23" t="s">
        <v>429</v>
      </c>
      <c r="F9" s="23" t="s">
        <v>430</v>
      </c>
      <c r="G9" s="24" t="s">
        <v>106</v>
      </c>
      <c r="H9" s="29" t="s">
        <v>551</v>
      </c>
      <c r="I9" s="23" t="str">
        <f>"2990,0"</f>
        <v>2990,0</v>
      </c>
      <c r="J9" s="24" t="str">
        <f>"2612,0640"</f>
        <v>2612,0640</v>
      </c>
      <c r="K9" s="23" t="s">
        <v>457</v>
      </c>
    </row>
    <row r="11" spans="1:10" ht="15">
      <c r="A11" s="48" t="s">
        <v>147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1" ht="12.75">
      <c r="A12" s="17" t="s">
        <v>487</v>
      </c>
      <c r="B12" s="17" t="s">
        <v>188</v>
      </c>
      <c r="C12" s="17" t="s">
        <v>189</v>
      </c>
      <c r="D12" s="17" t="str">
        <f>"0,8379"</f>
        <v>0,8379</v>
      </c>
      <c r="E12" s="17" t="s">
        <v>179</v>
      </c>
      <c r="F12" s="17" t="s">
        <v>19</v>
      </c>
      <c r="G12" s="18" t="s">
        <v>152</v>
      </c>
      <c r="H12" s="27" t="s">
        <v>552</v>
      </c>
      <c r="I12" s="17" t="str">
        <f>"2030,0"</f>
        <v>2030,0</v>
      </c>
      <c r="J12" s="18" t="str">
        <f>"1700,9370"</f>
        <v>1700,9370</v>
      </c>
      <c r="K12" s="17" t="s">
        <v>190</v>
      </c>
    </row>
    <row r="13" spans="1:11" ht="12.75">
      <c r="A13" s="23" t="s">
        <v>553</v>
      </c>
      <c r="B13" s="23" t="s">
        <v>182</v>
      </c>
      <c r="C13" s="23" t="s">
        <v>183</v>
      </c>
      <c r="D13" s="23" t="str">
        <f>"0,8064"</f>
        <v>0,8064</v>
      </c>
      <c r="E13" s="23" t="s">
        <v>179</v>
      </c>
      <c r="F13" s="23" t="s">
        <v>184</v>
      </c>
      <c r="G13" s="24" t="s">
        <v>88</v>
      </c>
      <c r="H13" s="29" t="s">
        <v>554</v>
      </c>
      <c r="I13" s="23" t="str">
        <f>"1875,0"</f>
        <v>1875,0</v>
      </c>
      <c r="J13" s="24" t="str">
        <f>"1512,0000"</f>
        <v>1512,0000</v>
      </c>
      <c r="K13" s="23" t="s">
        <v>124</v>
      </c>
    </row>
    <row r="15" spans="1:10" ht="15">
      <c r="A15" s="48" t="s">
        <v>92</v>
      </c>
      <c r="B15" s="49"/>
      <c r="C15" s="49"/>
      <c r="D15" s="49"/>
      <c r="E15" s="49"/>
      <c r="F15" s="49"/>
      <c r="G15" s="49"/>
      <c r="H15" s="49"/>
      <c r="I15" s="49"/>
      <c r="J15" s="49"/>
    </row>
    <row r="16" spans="1:11" ht="12.75">
      <c r="A16" s="6" t="s">
        <v>316</v>
      </c>
      <c r="B16" s="6" t="s">
        <v>317</v>
      </c>
      <c r="C16" s="6" t="s">
        <v>318</v>
      </c>
      <c r="D16" s="6" t="str">
        <f>"0,7899"</f>
        <v>0,7899</v>
      </c>
      <c r="E16" s="6" t="s">
        <v>69</v>
      </c>
      <c r="F16" s="6" t="s">
        <v>32</v>
      </c>
      <c r="G16" s="8" t="s">
        <v>71</v>
      </c>
      <c r="H16" s="30" t="s">
        <v>555</v>
      </c>
      <c r="I16" s="6" t="str">
        <f>"2080,0"</f>
        <v>2080,0</v>
      </c>
      <c r="J16" s="8" t="str">
        <f>"1642,9920"</f>
        <v>1642,9920</v>
      </c>
      <c r="K16" s="6" t="s">
        <v>124</v>
      </c>
    </row>
    <row r="18" spans="1:10" ht="15">
      <c r="A18" s="48" t="s">
        <v>13</v>
      </c>
      <c r="B18" s="49"/>
      <c r="C18" s="49"/>
      <c r="D18" s="49"/>
      <c r="E18" s="49"/>
      <c r="F18" s="49"/>
      <c r="G18" s="49"/>
      <c r="H18" s="49"/>
      <c r="I18" s="49"/>
      <c r="J18" s="49"/>
    </row>
    <row r="19" spans="1:11" ht="12.75">
      <c r="A19" s="6" t="s">
        <v>556</v>
      </c>
      <c r="B19" s="6" t="s">
        <v>368</v>
      </c>
      <c r="C19" s="6" t="s">
        <v>369</v>
      </c>
      <c r="D19" s="6" t="str">
        <f>"0,6934"</f>
        <v>0,6934</v>
      </c>
      <c r="E19" s="6" t="s">
        <v>69</v>
      </c>
      <c r="F19" s="6" t="s">
        <v>32</v>
      </c>
      <c r="G19" s="8" t="s">
        <v>104</v>
      </c>
      <c r="H19" s="30" t="s">
        <v>557</v>
      </c>
      <c r="I19" s="6" t="str">
        <f>"2050,0"</f>
        <v>2050,0</v>
      </c>
      <c r="J19" s="8" t="str">
        <f>"1421,4701"</f>
        <v>1421,4701</v>
      </c>
      <c r="K19" s="6" t="s">
        <v>208</v>
      </c>
    </row>
    <row r="21" spans="1:10" ht="15">
      <c r="A21" s="48" t="s">
        <v>155</v>
      </c>
      <c r="B21" s="49"/>
      <c r="C21" s="49"/>
      <c r="D21" s="49"/>
      <c r="E21" s="49"/>
      <c r="F21" s="49"/>
      <c r="G21" s="49"/>
      <c r="H21" s="49"/>
      <c r="I21" s="49"/>
      <c r="J21" s="49"/>
    </row>
    <row r="22" spans="1:11" ht="12.75">
      <c r="A22" s="6" t="s">
        <v>224</v>
      </c>
      <c r="B22" s="6" t="s">
        <v>225</v>
      </c>
      <c r="C22" s="6" t="s">
        <v>226</v>
      </c>
      <c r="D22" s="6" t="str">
        <f>"0,6707"</f>
        <v>0,6707</v>
      </c>
      <c r="E22" s="6" t="s">
        <v>179</v>
      </c>
      <c r="F22" s="6" t="s">
        <v>227</v>
      </c>
      <c r="G22" s="8" t="s">
        <v>558</v>
      </c>
      <c r="H22" s="30" t="s">
        <v>559</v>
      </c>
      <c r="I22" s="6" t="str">
        <f>"2115,0"</f>
        <v>2115,0</v>
      </c>
      <c r="J22" s="8" t="str">
        <f>"1418,5305"</f>
        <v>1418,5305</v>
      </c>
      <c r="K22" s="6" t="s">
        <v>124</v>
      </c>
    </row>
    <row r="24" spans="5:6" ht="15">
      <c r="E24" s="9" t="s">
        <v>40</v>
      </c>
      <c r="F24" s="45" t="s">
        <v>686</v>
      </c>
    </row>
    <row r="25" spans="5:6" ht="15">
      <c r="E25" s="9" t="s">
        <v>41</v>
      </c>
      <c r="F25" s="45" t="s">
        <v>687</v>
      </c>
    </row>
    <row r="26" spans="5:6" ht="15">
      <c r="E26" s="9" t="s">
        <v>42</v>
      </c>
      <c r="F26" s="45" t="s">
        <v>688</v>
      </c>
    </row>
    <row r="27" spans="5:6" ht="15">
      <c r="E27" s="9" t="s">
        <v>43</v>
      </c>
      <c r="F27" s="45" t="s">
        <v>689</v>
      </c>
    </row>
    <row r="28" spans="5:6" ht="15">
      <c r="E28" s="9" t="s">
        <v>43</v>
      </c>
      <c r="F28" s="45" t="s">
        <v>690</v>
      </c>
    </row>
    <row r="29" ht="15">
      <c r="E29" s="9"/>
    </row>
    <row r="30" ht="15">
      <c r="E30" s="9"/>
    </row>
    <row r="32" spans="1:2" ht="18">
      <c r="A32" s="10" t="s">
        <v>44</v>
      </c>
      <c r="B32" s="10"/>
    </row>
    <row r="33" spans="1:2" ht="15">
      <c r="A33" s="11" t="s">
        <v>45</v>
      </c>
      <c r="B33" s="11"/>
    </row>
    <row r="34" spans="1:2" ht="14.25">
      <c r="A34" s="13"/>
      <c r="B34" s="14" t="s">
        <v>46</v>
      </c>
    </row>
    <row r="35" spans="1:5" ht="15">
      <c r="A35" s="15" t="s">
        <v>47</v>
      </c>
      <c r="B35" s="15" t="s">
        <v>48</v>
      </c>
      <c r="C35" s="15" t="s">
        <v>49</v>
      </c>
      <c r="D35" s="15" t="s">
        <v>50</v>
      </c>
      <c r="E35" s="15" t="s">
        <v>560</v>
      </c>
    </row>
    <row r="36" spans="1:5" ht="12.75">
      <c r="A36" s="12" t="s">
        <v>536</v>
      </c>
      <c r="B36" s="4" t="s">
        <v>46</v>
      </c>
      <c r="C36" s="4" t="s">
        <v>228</v>
      </c>
      <c r="D36" s="4" t="s">
        <v>561</v>
      </c>
      <c r="E36" s="16" t="s">
        <v>562</v>
      </c>
    </row>
    <row r="37" spans="1:5" ht="12.75">
      <c r="A37" s="12" t="s">
        <v>175</v>
      </c>
      <c r="B37" s="4" t="s">
        <v>46</v>
      </c>
      <c r="C37" s="4" t="s">
        <v>228</v>
      </c>
      <c r="D37" s="4" t="s">
        <v>563</v>
      </c>
      <c r="E37" s="16" t="s">
        <v>564</v>
      </c>
    </row>
    <row r="38" spans="1:5" ht="12.75">
      <c r="A38" s="12" t="s">
        <v>186</v>
      </c>
      <c r="B38" s="4" t="s">
        <v>46</v>
      </c>
      <c r="C38" s="4" t="s">
        <v>168</v>
      </c>
      <c r="D38" s="4" t="s">
        <v>565</v>
      </c>
      <c r="E38" s="16" t="s">
        <v>566</v>
      </c>
    </row>
    <row r="39" spans="1:5" ht="12.75">
      <c r="A39" s="12" t="s">
        <v>180</v>
      </c>
      <c r="B39" s="4" t="s">
        <v>46</v>
      </c>
      <c r="C39" s="4" t="s">
        <v>168</v>
      </c>
      <c r="D39" s="4" t="s">
        <v>567</v>
      </c>
      <c r="E39" s="16" t="s">
        <v>568</v>
      </c>
    </row>
    <row r="40" spans="1:5" ht="12.75">
      <c r="A40" s="12" t="s">
        <v>366</v>
      </c>
      <c r="B40" s="4" t="s">
        <v>46</v>
      </c>
      <c r="C40" s="4" t="s">
        <v>52</v>
      </c>
      <c r="D40" s="4" t="s">
        <v>569</v>
      </c>
      <c r="E40" s="16" t="s">
        <v>570</v>
      </c>
    </row>
    <row r="41" spans="1:5" ht="12.75">
      <c r="A41" s="12" t="s">
        <v>223</v>
      </c>
      <c r="B41" s="4" t="s">
        <v>46</v>
      </c>
      <c r="C41" s="4" t="s">
        <v>171</v>
      </c>
      <c r="D41" s="4" t="s">
        <v>571</v>
      </c>
      <c r="E41" s="16" t="s">
        <v>572</v>
      </c>
    </row>
    <row r="43" spans="1:2" ht="14.25">
      <c r="A43" s="13"/>
      <c r="B43" s="14" t="s">
        <v>166</v>
      </c>
    </row>
    <row r="44" spans="1:5" ht="15">
      <c r="A44" s="15" t="s">
        <v>47</v>
      </c>
      <c r="B44" s="15" t="s">
        <v>48</v>
      </c>
      <c r="C44" s="15" t="s">
        <v>49</v>
      </c>
      <c r="D44" s="15" t="s">
        <v>50</v>
      </c>
      <c r="E44" s="15" t="s">
        <v>560</v>
      </c>
    </row>
    <row r="45" spans="1:5" ht="12.75">
      <c r="A45" s="12" t="s">
        <v>547</v>
      </c>
      <c r="B45" s="4" t="s">
        <v>412</v>
      </c>
      <c r="C45" s="4" t="s">
        <v>228</v>
      </c>
      <c r="D45" s="4" t="s">
        <v>573</v>
      </c>
      <c r="E45" s="16" t="s">
        <v>574</v>
      </c>
    </row>
    <row r="46" spans="1:5" ht="12.75">
      <c r="A46" s="12" t="s">
        <v>315</v>
      </c>
      <c r="B46" s="4" t="s">
        <v>412</v>
      </c>
      <c r="C46" s="4" t="s">
        <v>134</v>
      </c>
      <c r="D46" s="4" t="s">
        <v>575</v>
      </c>
      <c r="E46" s="16" t="s">
        <v>576</v>
      </c>
    </row>
    <row r="47" spans="1:5" ht="12.75">
      <c r="A47" s="12" t="s">
        <v>307</v>
      </c>
      <c r="B47" s="4" t="s">
        <v>167</v>
      </c>
      <c r="C47" s="4" t="s">
        <v>228</v>
      </c>
      <c r="D47" s="4" t="s">
        <v>577</v>
      </c>
      <c r="E47" s="16" t="s">
        <v>578</v>
      </c>
    </row>
    <row r="52" spans="1:2" ht="18">
      <c r="A52" s="10" t="s">
        <v>58</v>
      </c>
      <c r="B52" s="10"/>
    </row>
    <row r="53" spans="1:3" ht="15">
      <c r="A53" s="15" t="s">
        <v>59</v>
      </c>
      <c r="B53" s="15" t="s">
        <v>60</v>
      </c>
      <c r="C53" s="15" t="s">
        <v>61</v>
      </c>
    </row>
    <row r="54" spans="1:3" ht="12.75">
      <c r="A54" s="4" t="s">
        <v>179</v>
      </c>
      <c r="B54" s="4" t="s">
        <v>579</v>
      </c>
      <c r="C54" s="4" t="s">
        <v>244</v>
      </c>
    </row>
    <row r="55" spans="1:3" ht="12.75">
      <c r="A55" s="4" t="s">
        <v>69</v>
      </c>
      <c r="B55" s="4" t="s">
        <v>263</v>
      </c>
      <c r="C55" s="4" t="s">
        <v>580</v>
      </c>
    </row>
    <row r="56" spans="1:3" ht="12.75">
      <c r="A56" s="4" t="s">
        <v>429</v>
      </c>
      <c r="B56" s="4" t="s">
        <v>62</v>
      </c>
      <c r="C56" s="4" t="s">
        <v>581</v>
      </c>
    </row>
    <row r="57" spans="1:3" ht="12.75">
      <c r="A57" s="4" t="s">
        <v>84</v>
      </c>
      <c r="B57" s="4" t="s">
        <v>62</v>
      </c>
      <c r="C57" s="4" t="s">
        <v>582</v>
      </c>
    </row>
  </sheetData>
  <sheetProtection/>
  <mergeCells count="16">
    <mergeCell ref="A18:J18"/>
    <mergeCell ref="A21:J21"/>
    <mergeCell ref="I3:I4"/>
    <mergeCell ref="J3:J4"/>
    <mergeCell ref="K3:K4"/>
    <mergeCell ref="A5:J5"/>
    <mergeCell ref="A11:J11"/>
    <mergeCell ref="A15:J1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8.25390625" style="0" customWidth="1"/>
    <col min="2" max="2" width="30.375" style="0" customWidth="1"/>
    <col min="3" max="3" width="22.75390625" style="0" customWidth="1"/>
    <col min="5" max="5" width="23.375" style="0" customWidth="1"/>
    <col min="6" max="6" width="29.625" style="0" customWidth="1"/>
  </cols>
  <sheetData>
    <row r="1" spans="1:17" ht="97.5" customHeight="1" thickBot="1">
      <c r="A1" s="63" t="s">
        <v>685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34.5" customHeight="1">
      <c r="A2" s="33" t="s">
        <v>0</v>
      </c>
      <c r="B2" s="35" t="s">
        <v>6</v>
      </c>
      <c r="C2" s="35" t="s">
        <v>7</v>
      </c>
      <c r="D2" s="37" t="s">
        <v>9</v>
      </c>
      <c r="E2" s="37" t="s">
        <v>4</v>
      </c>
      <c r="F2" s="37" t="s">
        <v>8</v>
      </c>
      <c r="G2" s="37" t="s">
        <v>11</v>
      </c>
      <c r="H2" s="37"/>
      <c r="I2" s="37"/>
      <c r="J2" s="37"/>
      <c r="K2" s="37" t="s">
        <v>535</v>
      </c>
      <c r="L2" s="37"/>
      <c r="M2" s="37"/>
      <c r="N2" s="37"/>
      <c r="O2" s="37" t="s">
        <v>1</v>
      </c>
      <c r="P2" s="37" t="s">
        <v>3</v>
      </c>
      <c r="Q2" s="38" t="s">
        <v>2</v>
      </c>
    </row>
    <row r="3" spans="1:17" ht="15.75" thickBot="1">
      <c r="A3" s="34"/>
      <c r="B3" s="36"/>
      <c r="C3" s="36"/>
      <c r="D3" s="36"/>
      <c r="E3" s="36"/>
      <c r="F3" s="36"/>
      <c r="G3" s="36">
        <v>1</v>
      </c>
      <c r="H3" s="36">
        <v>2</v>
      </c>
      <c r="I3" s="36">
        <v>3</v>
      </c>
      <c r="J3" s="36" t="s">
        <v>5</v>
      </c>
      <c r="K3" s="36">
        <v>1</v>
      </c>
      <c r="L3" s="36">
        <v>2</v>
      </c>
      <c r="M3" s="36">
        <v>3</v>
      </c>
      <c r="N3" s="36" t="s">
        <v>5</v>
      </c>
      <c r="O3" s="36"/>
      <c r="P3" s="36"/>
      <c r="Q3" s="39"/>
    </row>
    <row r="4" spans="1:17" ht="15">
      <c r="A4" s="46" t="s">
        <v>196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"/>
    </row>
    <row r="5" spans="1:17" ht="12.75">
      <c r="A5" s="6" t="s">
        <v>426</v>
      </c>
      <c r="B5" s="6" t="s">
        <v>427</v>
      </c>
      <c r="C5" s="6" t="s">
        <v>428</v>
      </c>
      <c r="D5" s="6" t="str">
        <f>"0,5883"</f>
        <v>0,5883</v>
      </c>
      <c r="E5" s="6" t="s">
        <v>429</v>
      </c>
      <c r="F5" s="6" t="s">
        <v>430</v>
      </c>
      <c r="G5" s="8" t="s">
        <v>119</v>
      </c>
      <c r="H5" s="8" t="s">
        <v>120</v>
      </c>
      <c r="I5" s="8" t="s">
        <v>121</v>
      </c>
      <c r="J5" s="7"/>
      <c r="K5" s="6"/>
      <c r="L5" s="8"/>
      <c r="M5" s="43" t="s">
        <v>682</v>
      </c>
      <c r="N5" s="7"/>
      <c r="O5" s="44" t="s">
        <v>683</v>
      </c>
      <c r="P5" s="8"/>
      <c r="Q5" s="6"/>
    </row>
    <row r="6" spans="1:17" ht="12.75">
      <c r="A6" s="6" t="s">
        <v>426</v>
      </c>
      <c r="B6" s="44" t="s">
        <v>684</v>
      </c>
      <c r="C6" s="6" t="s">
        <v>428</v>
      </c>
      <c r="D6" s="6" t="str">
        <f>"0,5883"</f>
        <v>0,5883</v>
      </c>
      <c r="E6" s="6" t="s">
        <v>429</v>
      </c>
      <c r="F6" s="6" t="s">
        <v>430</v>
      </c>
      <c r="G6" s="8" t="s">
        <v>119</v>
      </c>
      <c r="H6" s="8" t="s">
        <v>120</v>
      </c>
      <c r="I6" s="8" t="s">
        <v>121</v>
      </c>
      <c r="J6" s="7"/>
      <c r="K6" s="6"/>
      <c r="L6" s="8"/>
      <c r="M6" s="43" t="s">
        <v>682</v>
      </c>
      <c r="N6" s="7"/>
      <c r="O6" s="44" t="s">
        <v>683</v>
      </c>
      <c r="P6" s="8"/>
      <c r="Q6" s="6"/>
    </row>
    <row r="8" spans="5:6" ht="15">
      <c r="E8" s="9" t="s">
        <v>40</v>
      </c>
      <c r="F8" s="45" t="s">
        <v>686</v>
      </c>
    </row>
    <row r="9" spans="5:6" ht="15">
      <c r="E9" s="9" t="s">
        <v>41</v>
      </c>
      <c r="F9" s="45" t="s">
        <v>687</v>
      </c>
    </row>
    <row r="10" spans="5:6" ht="15">
      <c r="E10" s="9" t="s">
        <v>42</v>
      </c>
      <c r="F10" s="45" t="s">
        <v>688</v>
      </c>
    </row>
    <row r="11" spans="5:6" ht="15">
      <c r="E11" s="9" t="s">
        <v>43</v>
      </c>
      <c r="F11" s="45" t="s">
        <v>689</v>
      </c>
    </row>
    <row r="12" spans="5:6" ht="15">
      <c r="E12" s="9" t="s">
        <v>43</v>
      </c>
      <c r="F12" s="45" t="s">
        <v>690</v>
      </c>
    </row>
    <row r="13" ht="15">
      <c r="E13" s="9"/>
    </row>
  </sheetData>
  <sheetProtection/>
  <mergeCells count="2">
    <mergeCell ref="A4:P4"/>
    <mergeCell ref="A1:Q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6.125" style="0" customWidth="1"/>
    <col min="2" max="2" width="25.75390625" style="0" customWidth="1"/>
    <col min="3" max="3" width="19.75390625" style="0" customWidth="1"/>
    <col min="5" max="5" width="22.625" style="0" customWidth="1"/>
    <col min="6" max="6" width="29.625" style="0" customWidth="1"/>
    <col min="7" max="7" width="13.75390625" style="0" customWidth="1"/>
  </cols>
  <sheetData>
    <row r="1" spans="1:17" ht="87" customHeight="1" thickBot="1">
      <c r="A1" s="65" t="s">
        <v>679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35.25" customHeight="1">
      <c r="A2" s="33" t="s">
        <v>0</v>
      </c>
      <c r="B2" s="35" t="s">
        <v>6</v>
      </c>
      <c r="C2" s="35" t="s">
        <v>7</v>
      </c>
      <c r="D2" s="37" t="s">
        <v>9</v>
      </c>
      <c r="E2" s="37" t="s">
        <v>4</v>
      </c>
      <c r="F2" s="37" t="s">
        <v>8</v>
      </c>
      <c r="G2" s="37" t="s">
        <v>11</v>
      </c>
      <c r="H2" s="37"/>
      <c r="I2" s="37"/>
      <c r="J2" s="37"/>
      <c r="K2" s="37" t="s">
        <v>535</v>
      </c>
      <c r="L2" s="37"/>
      <c r="M2" s="37"/>
      <c r="N2" s="37"/>
      <c r="O2" s="37" t="s">
        <v>1</v>
      </c>
      <c r="P2" s="37" t="s">
        <v>3</v>
      </c>
      <c r="Q2" s="38" t="s">
        <v>2</v>
      </c>
    </row>
    <row r="3" spans="1:17" ht="15.75" thickBot="1">
      <c r="A3" s="34"/>
      <c r="B3" s="36"/>
      <c r="C3" s="36"/>
      <c r="D3" s="36"/>
      <c r="E3" s="36"/>
      <c r="F3" s="36"/>
      <c r="G3" s="36">
        <v>1</v>
      </c>
      <c r="H3" s="36">
        <v>2</v>
      </c>
      <c r="I3" s="36">
        <v>3</v>
      </c>
      <c r="J3" s="36" t="s">
        <v>5</v>
      </c>
      <c r="K3" s="36">
        <v>1</v>
      </c>
      <c r="L3" s="36">
        <v>2</v>
      </c>
      <c r="M3" s="36">
        <v>3</v>
      </c>
      <c r="N3" s="36" t="s">
        <v>5</v>
      </c>
      <c r="O3" s="36"/>
      <c r="P3" s="36"/>
      <c r="Q3" s="39"/>
    </row>
    <row r="4" spans="1:17" ht="15" customHeight="1">
      <c r="A4" s="46" t="s">
        <v>155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"/>
    </row>
    <row r="5" spans="1:17" ht="12.75">
      <c r="A5" s="6" t="s">
        <v>224</v>
      </c>
      <c r="B5" s="6" t="s">
        <v>225</v>
      </c>
      <c r="C5" s="6" t="s">
        <v>226</v>
      </c>
      <c r="D5" s="6" t="str">
        <f>"0,5302"</f>
        <v>0,5302</v>
      </c>
      <c r="E5" s="6" t="s">
        <v>179</v>
      </c>
      <c r="F5" s="6" t="s">
        <v>227</v>
      </c>
      <c r="G5" s="8" t="s">
        <v>119</v>
      </c>
      <c r="H5" s="8" t="s">
        <v>120</v>
      </c>
      <c r="I5" s="8" t="s">
        <v>121</v>
      </c>
      <c r="J5" s="7"/>
      <c r="K5" s="6"/>
      <c r="L5" s="8"/>
      <c r="M5" s="43" t="s">
        <v>680</v>
      </c>
      <c r="N5" s="7"/>
      <c r="O5" s="44" t="s">
        <v>681</v>
      </c>
      <c r="P5" s="8" t="str">
        <f>"188,8110"</f>
        <v>188,8110</v>
      </c>
      <c r="Q5" s="6"/>
    </row>
    <row r="7" spans="5:7" ht="15">
      <c r="E7" s="9" t="s">
        <v>40</v>
      </c>
      <c r="F7" s="45" t="s">
        <v>686</v>
      </c>
      <c r="G7" s="45"/>
    </row>
    <row r="8" spans="5:7" ht="15">
      <c r="E8" s="9" t="s">
        <v>41</v>
      </c>
      <c r="F8" s="45" t="s">
        <v>687</v>
      </c>
      <c r="G8" s="45"/>
    </row>
    <row r="9" spans="5:7" ht="15">
      <c r="E9" s="9" t="s">
        <v>42</v>
      </c>
      <c r="F9" s="45" t="s">
        <v>688</v>
      </c>
      <c r="G9" s="45"/>
    </row>
    <row r="10" spans="5:7" ht="15">
      <c r="E10" s="9" t="s">
        <v>43</v>
      </c>
      <c r="F10" s="45" t="s">
        <v>689</v>
      </c>
      <c r="G10" s="45"/>
    </row>
    <row r="11" spans="5:7" ht="15">
      <c r="E11" s="9" t="s">
        <v>43</v>
      </c>
      <c r="F11" s="45" t="s">
        <v>690</v>
      </c>
      <c r="G11" s="45"/>
    </row>
    <row r="12" ht="15">
      <c r="E12" s="9"/>
    </row>
  </sheetData>
  <sheetProtection/>
  <mergeCells count="2">
    <mergeCell ref="A1:Q1"/>
    <mergeCell ref="A4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8.125" style="4" bestFit="1" customWidth="1"/>
    <col min="4" max="4" width="9.25390625" style="4" bestFit="1" customWidth="1"/>
    <col min="5" max="5" width="22.75390625" style="4" bestFit="1" customWidth="1"/>
    <col min="6" max="6" width="19.875" style="4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5" width="7.875" style="4" bestFit="1" customWidth="1"/>
    <col min="16" max="16" width="8.625" style="3" bestFit="1" customWidth="1"/>
    <col min="17" max="17" width="21.75390625" style="4" bestFit="1" customWidth="1"/>
    <col min="18" max="16384" width="9.125" style="3" customWidth="1"/>
  </cols>
  <sheetData>
    <row r="1" spans="1:17" s="2" customFormat="1" ht="28.5" customHeight="1">
      <c r="A1" s="50" t="s">
        <v>663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s="1" customFormat="1" ht="12.75" customHeight="1">
      <c r="A3" s="56" t="s">
        <v>0</v>
      </c>
      <c r="B3" s="58" t="s">
        <v>6</v>
      </c>
      <c r="C3" s="58" t="s">
        <v>7</v>
      </c>
      <c r="D3" s="60" t="s">
        <v>9</v>
      </c>
      <c r="E3" s="60" t="s">
        <v>4</v>
      </c>
      <c r="F3" s="60" t="s">
        <v>8</v>
      </c>
      <c r="G3" s="60" t="s">
        <v>11</v>
      </c>
      <c r="H3" s="60"/>
      <c r="I3" s="60"/>
      <c r="J3" s="60"/>
      <c r="K3" s="60" t="s">
        <v>12</v>
      </c>
      <c r="L3" s="60"/>
      <c r="M3" s="60"/>
      <c r="N3" s="60"/>
      <c r="O3" s="60" t="s">
        <v>1</v>
      </c>
      <c r="P3" s="60" t="s">
        <v>3</v>
      </c>
      <c r="Q3" s="61" t="s">
        <v>2</v>
      </c>
    </row>
    <row r="4" spans="1:17" s="1" customFormat="1" ht="21" customHeight="1" thickBot="1">
      <c r="A4" s="57"/>
      <c r="B4" s="59"/>
      <c r="C4" s="59"/>
      <c r="D4" s="59"/>
      <c r="E4" s="59"/>
      <c r="F4" s="59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9"/>
      <c r="P4" s="59"/>
      <c r="Q4" s="62"/>
    </row>
    <row r="5" spans="1:16" ht="15">
      <c r="A5" s="46" t="s">
        <v>147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7" ht="12.75">
      <c r="A6" s="6" t="s">
        <v>487</v>
      </c>
      <c r="B6" s="6" t="s">
        <v>188</v>
      </c>
      <c r="C6" s="6" t="s">
        <v>189</v>
      </c>
      <c r="D6" s="6" t="str">
        <f>"0,6993"</f>
        <v>0,6993</v>
      </c>
      <c r="E6" s="6" t="s">
        <v>179</v>
      </c>
      <c r="F6" s="6" t="s">
        <v>19</v>
      </c>
      <c r="G6" s="7" t="s">
        <v>36</v>
      </c>
      <c r="H6" s="8" t="s">
        <v>36</v>
      </c>
      <c r="I6" s="7" t="s">
        <v>89</v>
      </c>
      <c r="J6" s="7"/>
      <c r="K6" s="8" t="s">
        <v>37</v>
      </c>
      <c r="L6" s="8" t="s">
        <v>201</v>
      </c>
      <c r="M6" s="8" t="s">
        <v>98</v>
      </c>
      <c r="N6" s="7"/>
      <c r="O6" s="6" t="str">
        <f>"270,0"</f>
        <v>270,0</v>
      </c>
      <c r="P6" s="8" t="str">
        <f>"188,8110"</f>
        <v>188,8110</v>
      </c>
      <c r="Q6" s="6" t="s">
        <v>190</v>
      </c>
    </row>
    <row r="8" spans="5:6" ht="15">
      <c r="E8" s="9" t="s">
        <v>40</v>
      </c>
      <c r="F8" s="45" t="s">
        <v>686</v>
      </c>
    </row>
    <row r="9" spans="5:6" ht="15">
      <c r="E9" s="9" t="s">
        <v>41</v>
      </c>
      <c r="F9" s="45" t="s">
        <v>687</v>
      </c>
    </row>
    <row r="10" spans="5:6" ht="15">
      <c r="E10" s="9" t="s">
        <v>42</v>
      </c>
      <c r="F10" s="45" t="s">
        <v>688</v>
      </c>
    </row>
    <row r="11" spans="5:6" ht="15">
      <c r="E11" s="9" t="s">
        <v>43</v>
      </c>
      <c r="F11" s="45" t="s">
        <v>689</v>
      </c>
    </row>
    <row r="12" spans="5:6" ht="15">
      <c r="E12" s="9" t="s">
        <v>43</v>
      </c>
      <c r="F12" s="45" t="s">
        <v>690</v>
      </c>
    </row>
    <row r="13" ht="15">
      <c r="E13" s="9"/>
    </row>
    <row r="14" ht="15">
      <c r="E14" s="9"/>
    </row>
    <row r="16" spans="1:2" ht="18">
      <c r="A16" s="10" t="s">
        <v>44</v>
      </c>
      <c r="B16" s="10"/>
    </row>
    <row r="17" spans="1:2" ht="15">
      <c r="A17" s="11" t="s">
        <v>45</v>
      </c>
      <c r="B17" s="11"/>
    </row>
    <row r="18" spans="1:2" ht="14.25">
      <c r="A18" s="13"/>
      <c r="B18" s="14" t="s">
        <v>46</v>
      </c>
    </row>
    <row r="19" spans="1:5" ht="15">
      <c r="A19" s="15" t="s">
        <v>47</v>
      </c>
      <c r="B19" s="15" t="s">
        <v>48</v>
      </c>
      <c r="C19" s="15" t="s">
        <v>49</v>
      </c>
      <c r="D19" s="15" t="s">
        <v>50</v>
      </c>
      <c r="E19" s="15" t="s">
        <v>51</v>
      </c>
    </row>
    <row r="20" spans="1:5" ht="12.75">
      <c r="A20" s="12" t="s">
        <v>186</v>
      </c>
      <c r="B20" s="4" t="s">
        <v>46</v>
      </c>
      <c r="C20" s="4" t="s">
        <v>168</v>
      </c>
      <c r="D20" s="4" t="s">
        <v>472</v>
      </c>
      <c r="E20" s="16" t="s">
        <v>533</v>
      </c>
    </row>
    <row r="25" spans="1:2" ht="18">
      <c r="A25" s="10" t="s">
        <v>58</v>
      </c>
      <c r="B25" s="10"/>
    </row>
    <row r="26" spans="1:3" ht="15">
      <c r="A26" s="15" t="s">
        <v>59</v>
      </c>
      <c r="B26" s="15" t="s">
        <v>60</v>
      </c>
      <c r="C26" s="15" t="s">
        <v>61</v>
      </c>
    </row>
    <row r="27" spans="1:3" ht="12.75">
      <c r="A27" s="4" t="s">
        <v>179</v>
      </c>
      <c r="B27" s="4" t="s">
        <v>62</v>
      </c>
      <c r="C27" s="4" t="s">
        <v>521</v>
      </c>
    </row>
  </sheetData>
  <sheetProtection/>
  <mergeCells count="13">
    <mergeCell ref="O3:O4"/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22.375" style="4" bestFit="1" customWidth="1"/>
    <col min="4" max="4" width="9.25390625" style="4" bestFit="1" customWidth="1"/>
    <col min="5" max="5" width="22.75390625" style="4" bestFit="1" customWidth="1"/>
    <col min="6" max="6" width="20.00390625" style="4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7.00390625" style="4" bestFit="1" customWidth="1"/>
    <col min="14" max="16384" width="9.125" style="3" customWidth="1"/>
  </cols>
  <sheetData>
    <row r="1" spans="1:13" s="2" customFormat="1" ht="28.5" customHeight="1">
      <c r="A1" s="50" t="s">
        <v>664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6</v>
      </c>
      <c r="C3" s="58" t="s">
        <v>7</v>
      </c>
      <c r="D3" s="60" t="s">
        <v>9</v>
      </c>
      <c r="E3" s="60" t="s">
        <v>4</v>
      </c>
      <c r="F3" s="60" t="s">
        <v>8</v>
      </c>
      <c r="G3" s="60" t="s">
        <v>10</v>
      </c>
      <c r="H3" s="60"/>
      <c r="I3" s="60"/>
      <c r="J3" s="60"/>
      <c r="K3" s="60" t="s">
        <v>250</v>
      </c>
      <c r="L3" s="60" t="s">
        <v>3</v>
      </c>
      <c r="M3" s="61" t="s">
        <v>2</v>
      </c>
    </row>
    <row r="4" spans="1:13" s="1" customFormat="1" ht="21" customHeight="1" thickBot="1">
      <c r="A4" s="57"/>
      <c r="B4" s="59"/>
      <c r="C4" s="59"/>
      <c r="D4" s="59"/>
      <c r="E4" s="59"/>
      <c r="F4" s="59"/>
      <c r="G4" s="5">
        <v>1</v>
      </c>
      <c r="H4" s="5">
        <v>2</v>
      </c>
      <c r="I4" s="5">
        <v>3</v>
      </c>
      <c r="J4" s="5" t="s">
        <v>5</v>
      </c>
      <c r="K4" s="59"/>
      <c r="L4" s="59"/>
      <c r="M4" s="62"/>
    </row>
    <row r="5" spans="1:12" ht="15">
      <c r="A5" s="46" t="s">
        <v>13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6" t="s">
        <v>15</v>
      </c>
      <c r="B6" s="6" t="s">
        <v>16</v>
      </c>
      <c r="C6" s="6" t="s">
        <v>17</v>
      </c>
      <c r="D6" s="6" t="str">
        <f>"0,5396"</f>
        <v>0,5396</v>
      </c>
      <c r="E6" s="6" t="s">
        <v>18</v>
      </c>
      <c r="F6" s="6" t="s">
        <v>19</v>
      </c>
      <c r="G6" s="7" t="s">
        <v>20</v>
      </c>
      <c r="H6" s="8" t="s">
        <v>20</v>
      </c>
      <c r="I6" s="8" t="s">
        <v>21</v>
      </c>
      <c r="J6" s="7"/>
      <c r="K6" s="6" t="str">
        <f>"230,0"</f>
        <v>230,0</v>
      </c>
      <c r="L6" s="8" t="str">
        <f>"124,1080"</f>
        <v>124,1080</v>
      </c>
      <c r="M6" s="6" t="s">
        <v>25</v>
      </c>
    </row>
    <row r="8" spans="5:6" ht="15">
      <c r="E8" s="9" t="s">
        <v>40</v>
      </c>
      <c r="F8" s="45" t="s">
        <v>686</v>
      </c>
    </row>
    <row r="9" spans="5:6" ht="15">
      <c r="E9" s="9" t="s">
        <v>41</v>
      </c>
      <c r="F9" s="45" t="s">
        <v>687</v>
      </c>
    </row>
    <row r="10" spans="5:6" ht="15">
      <c r="E10" s="9" t="s">
        <v>42</v>
      </c>
      <c r="F10" s="45" t="s">
        <v>688</v>
      </c>
    </row>
    <row r="11" spans="5:6" ht="15">
      <c r="E11" s="9" t="s">
        <v>43</v>
      </c>
      <c r="F11" s="45" t="s">
        <v>689</v>
      </c>
    </row>
    <row r="12" spans="5:6" ht="15">
      <c r="E12" s="9" t="s">
        <v>43</v>
      </c>
      <c r="F12" s="45" t="s">
        <v>690</v>
      </c>
    </row>
    <row r="13" ht="15">
      <c r="E13" s="9"/>
    </row>
    <row r="14" ht="15">
      <c r="E14" s="9"/>
    </row>
    <row r="16" spans="1:2" ht="18">
      <c r="A16" s="10" t="s">
        <v>44</v>
      </c>
      <c r="B16" s="10"/>
    </row>
    <row r="17" spans="1:2" ht="15">
      <c r="A17" s="11" t="s">
        <v>45</v>
      </c>
      <c r="B17" s="11"/>
    </row>
    <row r="18" spans="1:2" ht="14.25">
      <c r="A18" s="13"/>
      <c r="B18" s="14" t="s">
        <v>46</v>
      </c>
    </row>
    <row r="19" spans="1:5" ht="15">
      <c r="A19" s="15" t="s">
        <v>47</v>
      </c>
      <c r="B19" s="15" t="s">
        <v>48</v>
      </c>
      <c r="C19" s="15" t="s">
        <v>49</v>
      </c>
      <c r="D19" s="15" t="s">
        <v>50</v>
      </c>
      <c r="E19" s="15" t="s">
        <v>51</v>
      </c>
    </row>
    <row r="20" spans="1:5" ht="12.75">
      <c r="A20" s="12" t="s">
        <v>14</v>
      </c>
      <c r="B20" s="4" t="s">
        <v>46</v>
      </c>
      <c r="C20" s="4" t="s">
        <v>52</v>
      </c>
      <c r="D20" s="4" t="s">
        <v>21</v>
      </c>
      <c r="E20" s="16" t="s">
        <v>532</v>
      </c>
    </row>
    <row r="25" spans="1:2" ht="18">
      <c r="A25" s="10" t="s">
        <v>58</v>
      </c>
      <c r="B25" s="10"/>
    </row>
    <row r="26" spans="1:3" ht="15">
      <c r="A26" s="15" t="s">
        <v>59</v>
      </c>
      <c r="B26" s="15" t="s">
        <v>60</v>
      </c>
      <c r="C26" s="15" t="s">
        <v>61</v>
      </c>
    </row>
    <row r="27" spans="1:3" ht="12.75">
      <c r="A27" s="4" t="s">
        <v>18</v>
      </c>
      <c r="B27" s="4" t="s">
        <v>62</v>
      </c>
      <c r="C27" s="4" t="s">
        <v>63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5.00390625" style="4" bestFit="1" customWidth="1"/>
    <col min="4" max="4" width="9.25390625" style="4" bestFit="1" customWidth="1"/>
    <col min="5" max="5" width="22.75390625" style="4" bestFit="1" customWidth="1"/>
    <col min="6" max="6" width="24.125" style="4" bestFit="1" customWidth="1"/>
    <col min="7" max="8" width="5.625" style="3" bestFit="1" customWidth="1"/>
    <col min="9" max="9" width="2.1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6.375" style="4" bestFit="1" customWidth="1"/>
    <col min="14" max="16384" width="9.125" style="3" customWidth="1"/>
  </cols>
  <sheetData>
    <row r="1" spans="1:13" s="2" customFormat="1" ht="28.5" customHeight="1">
      <c r="A1" s="50" t="s">
        <v>665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6</v>
      </c>
      <c r="C3" s="58" t="s">
        <v>7</v>
      </c>
      <c r="D3" s="60" t="s">
        <v>9</v>
      </c>
      <c r="E3" s="60" t="s">
        <v>4</v>
      </c>
      <c r="F3" s="60" t="s">
        <v>8</v>
      </c>
      <c r="G3" s="60" t="s">
        <v>10</v>
      </c>
      <c r="H3" s="60"/>
      <c r="I3" s="60"/>
      <c r="J3" s="60"/>
      <c r="K3" s="60" t="s">
        <v>250</v>
      </c>
      <c r="L3" s="60" t="s">
        <v>3</v>
      </c>
      <c r="M3" s="61" t="s">
        <v>2</v>
      </c>
    </row>
    <row r="4" spans="1:13" s="1" customFormat="1" ht="21" customHeight="1" thickBot="1">
      <c r="A4" s="57"/>
      <c r="B4" s="59"/>
      <c r="C4" s="59"/>
      <c r="D4" s="59"/>
      <c r="E4" s="59"/>
      <c r="F4" s="59"/>
      <c r="G4" s="5">
        <v>1</v>
      </c>
      <c r="H4" s="5">
        <v>2</v>
      </c>
      <c r="I4" s="5">
        <v>3</v>
      </c>
      <c r="J4" s="5" t="s">
        <v>5</v>
      </c>
      <c r="K4" s="59"/>
      <c r="L4" s="59"/>
      <c r="M4" s="62"/>
    </row>
    <row r="5" spans="1:12" ht="15">
      <c r="A5" s="46" t="s">
        <v>202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6" t="s">
        <v>527</v>
      </c>
      <c r="B6" s="6" t="s">
        <v>528</v>
      </c>
      <c r="C6" s="6" t="s">
        <v>529</v>
      </c>
      <c r="D6" s="6" t="str">
        <f>"0,5605"</f>
        <v>0,5605</v>
      </c>
      <c r="E6" s="6" t="s">
        <v>69</v>
      </c>
      <c r="F6" s="6" t="s">
        <v>32</v>
      </c>
      <c r="G6" s="8" t="s">
        <v>161</v>
      </c>
      <c r="H6" s="8" t="s">
        <v>22</v>
      </c>
      <c r="I6" s="7"/>
      <c r="J6" s="7"/>
      <c r="K6" s="6" t="str">
        <f>"170,0"</f>
        <v>170,0</v>
      </c>
      <c r="L6" s="8" t="str">
        <f>"98,2388"</f>
        <v>98,2388</v>
      </c>
      <c r="M6" s="6" t="s">
        <v>208</v>
      </c>
    </row>
    <row r="8" spans="5:6" ht="15">
      <c r="E8" s="9" t="s">
        <v>40</v>
      </c>
      <c r="F8" s="45" t="s">
        <v>686</v>
      </c>
    </row>
    <row r="9" spans="5:6" ht="15">
      <c r="E9" s="9" t="s">
        <v>41</v>
      </c>
      <c r="F9" s="45" t="s">
        <v>687</v>
      </c>
    </row>
    <row r="10" spans="5:6" ht="15">
      <c r="E10" s="9" t="s">
        <v>42</v>
      </c>
      <c r="F10" s="45" t="s">
        <v>688</v>
      </c>
    </row>
    <row r="11" spans="5:6" ht="15">
      <c r="E11" s="9" t="s">
        <v>43</v>
      </c>
      <c r="F11" s="45" t="s">
        <v>689</v>
      </c>
    </row>
    <row r="12" spans="5:6" ht="15">
      <c r="E12" s="9" t="s">
        <v>43</v>
      </c>
      <c r="F12" s="45" t="s">
        <v>690</v>
      </c>
    </row>
    <row r="13" ht="15">
      <c r="E13" s="9"/>
    </row>
    <row r="14" ht="15">
      <c r="E14" s="9"/>
    </row>
    <row r="16" spans="1:2" ht="18">
      <c r="A16" s="10" t="s">
        <v>44</v>
      </c>
      <c r="B16" s="10"/>
    </row>
    <row r="17" spans="1:2" ht="15">
      <c r="A17" s="11" t="s">
        <v>45</v>
      </c>
      <c r="B17" s="11"/>
    </row>
    <row r="18" spans="1:2" ht="14.25">
      <c r="A18" s="13"/>
      <c r="B18" s="14" t="s">
        <v>166</v>
      </c>
    </row>
    <row r="19" spans="1:5" ht="15">
      <c r="A19" s="15" t="s">
        <v>47</v>
      </c>
      <c r="B19" s="15" t="s">
        <v>48</v>
      </c>
      <c r="C19" s="15" t="s">
        <v>49</v>
      </c>
      <c r="D19" s="15" t="s">
        <v>50</v>
      </c>
      <c r="E19" s="15" t="s">
        <v>51</v>
      </c>
    </row>
    <row r="20" spans="1:5" ht="12.75">
      <c r="A20" s="12" t="s">
        <v>526</v>
      </c>
      <c r="B20" s="4" t="s">
        <v>167</v>
      </c>
      <c r="C20" s="4" t="s">
        <v>233</v>
      </c>
      <c r="D20" s="4" t="s">
        <v>22</v>
      </c>
      <c r="E20" s="16" t="s">
        <v>530</v>
      </c>
    </row>
    <row r="25" spans="1:2" ht="18">
      <c r="A25" s="10" t="s">
        <v>58</v>
      </c>
      <c r="B25" s="10"/>
    </row>
    <row r="26" spans="1:3" ht="15">
      <c r="A26" s="15" t="s">
        <v>59</v>
      </c>
      <c r="B26" s="15" t="s">
        <v>60</v>
      </c>
      <c r="C26" s="15" t="s">
        <v>61</v>
      </c>
    </row>
    <row r="27" spans="1:3" ht="12.75">
      <c r="A27" s="4" t="s">
        <v>69</v>
      </c>
      <c r="B27" s="4" t="s">
        <v>62</v>
      </c>
      <c r="C27" s="4" t="s">
        <v>531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20.125" style="4" bestFit="1" customWidth="1"/>
    <col min="4" max="4" width="9.25390625" style="4" bestFit="1" customWidth="1"/>
    <col min="5" max="5" width="22.75390625" style="4" bestFit="1" customWidth="1"/>
    <col min="6" max="6" width="24.1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6.375" style="4" bestFit="1" customWidth="1"/>
    <col min="14" max="16384" width="9.125" style="3" customWidth="1"/>
  </cols>
  <sheetData>
    <row r="1" spans="1:13" s="2" customFormat="1" ht="28.5" customHeight="1">
      <c r="A1" s="50" t="s">
        <v>666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6</v>
      </c>
      <c r="C3" s="58" t="s">
        <v>7</v>
      </c>
      <c r="D3" s="60" t="s">
        <v>9</v>
      </c>
      <c r="E3" s="60" t="s">
        <v>4</v>
      </c>
      <c r="F3" s="60" t="s">
        <v>8</v>
      </c>
      <c r="G3" s="60" t="s">
        <v>10</v>
      </c>
      <c r="H3" s="60"/>
      <c r="I3" s="60"/>
      <c r="J3" s="60"/>
      <c r="K3" s="60" t="s">
        <v>250</v>
      </c>
      <c r="L3" s="60" t="s">
        <v>3</v>
      </c>
      <c r="M3" s="61" t="s">
        <v>2</v>
      </c>
    </row>
    <row r="4" spans="1:13" s="1" customFormat="1" ht="21" customHeight="1" thickBot="1">
      <c r="A4" s="57"/>
      <c r="B4" s="59"/>
      <c r="C4" s="59"/>
      <c r="D4" s="59"/>
      <c r="E4" s="59"/>
      <c r="F4" s="59"/>
      <c r="G4" s="5">
        <v>1</v>
      </c>
      <c r="H4" s="5">
        <v>2</v>
      </c>
      <c r="I4" s="5">
        <v>3</v>
      </c>
      <c r="J4" s="5" t="s">
        <v>5</v>
      </c>
      <c r="K4" s="59"/>
      <c r="L4" s="59"/>
      <c r="M4" s="62"/>
    </row>
    <row r="5" spans="1:12" ht="15">
      <c r="A5" s="46" t="s">
        <v>202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6" t="s">
        <v>522</v>
      </c>
      <c r="B6" s="6" t="s">
        <v>352</v>
      </c>
      <c r="C6" s="6" t="s">
        <v>353</v>
      </c>
      <c r="D6" s="6" t="str">
        <f>"0,5821"</f>
        <v>0,5821</v>
      </c>
      <c r="E6" s="6" t="s">
        <v>69</v>
      </c>
      <c r="F6" s="6" t="s">
        <v>32</v>
      </c>
      <c r="G6" s="8" t="s">
        <v>121</v>
      </c>
      <c r="H6" s="8" t="s">
        <v>20</v>
      </c>
      <c r="I6" s="8" t="s">
        <v>485</v>
      </c>
      <c r="J6" s="7"/>
      <c r="K6" s="6" t="str">
        <f>"215,0"</f>
        <v>215,0</v>
      </c>
      <c r="L6" s="8" t="str">
        <f>"125,1515"</f>
        <v>125,1515</v>
      </c>
      <c r="M6" s="6" t="s">
        <v>208</v>
      </c>
    </row>
    <row r="8" spans="1:12" ht="15">
      <c r="A8" s="48" t="s">
        <v>13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3" ht="12.75">
      <c r="A9" s="6" t="s">
        <v>114</v>
      </c>
      <c r="B9" s="6" t="s">
        <v>115</v>
      </c>
      <c r="C9" s="6" t="s">
        <v>116</v>
      </c>
      <c r="D9" s="6" t="str">
        <f>"0,5411"</f>
        <v>0,5411</v>
      </c>
      <c r="E9" s="6" t="s">
        <v>117</v>
      </c>
      <c r="F9" s="6" t="s">
        <v>118</v>
      </c>
      <c r="G9" s="8" t="s">
        <v>119</v>
      </c>
      <c r="H9" s="8" t="s">
        <v>120</v>
      </c>
      <c r="I9" s="8" t="s">
        <v>121</v>
      </c>
      <c r="J9" s="7"/>
      <c r="K9" s="6" t="str">
        <f>"200,0"</f>
        <v>200,0</v>
      </c>
      <c r="L9" s="8" t="str">
        <f>"108,2200"</f>
        <v>108,2200</v>
      </c>
      <c r="M9" s="6" t="s">
        <v>124</v>
      </c>
    </row>
    <row r="11" spans="5:6" ht="15">
      <c r="E11" s="9" t="s">
        <v>40</v>
      </c>
      <c r="F11" s="45" t="s">
        <v>686</v>
      </c>
    </row>
    <row r="12" spans="5:6" ht="15">
      <c r="E12" s="9" t="s">
        <v>41</v>
      </c>
      <c r="F12" s="45" t="s">
        <v>687</v>
      </c>
    </row>
    <row r="13" spans="5:6" ht="15">
      <c r="E13" s="9" t="s">
        <v>42</v>
      </c>
      <c r="F13" s="45" t="s">
        <v>688</v>
      </c>
    </row>
    <row r="14" spans="5:6" ht="15">
      <c r="E14" s="9" t="s">
        <v>43</v>
      </c>
      <c r="F14" s="45" t="s">
        <v>689</v>
      </c>
    </row>
    <row r="15" spans="5:6" ht="15">
      <c r="E15" s="9" t="s">
        <v>43</v>
      </c>
      <c r="F15" s="45" t="s">
        <v>690</v>
      </c>
    </row>
    <row r="16" ht="15">
      <c r="E16" s="9"/>
    </row>
    <row r="17" ht="15">
      <c r="E17" s="9"/>
    </row>
    <row r="19" spans="1:2" ht="18">
      <c r="A19" s="10" t="s">
        <v>44</v>
      </c>
      <c r="B19" s="10"/>
    </row>
    <row r="20" spans="1:2" ht="15">
      <c r="A20" s="11" t="s">
        <v>45</v>
      </c>
      <c r="B20" s="11"/>
    </row>
    <row r="21" spans="1:2" ht="14.25">
      <c r="A21" s="13"/>
      <c r="B21" s="14" t="s">
        <v>46</v>
      </c>
    </row>
    <row r="22" spans="1:5" ht="15">
      <c r="A22" s="15" t="s">
        <v>47</v>
      </c>
      <c r="B22" s="15" t="s">
        <v>48</v>
      </c>
      <c r="C22" s="15" t="s">
        <v>49</v>
      </c>
      <c r="D22" s="15" t="s">
        <v>50</v>
      </c>
      <c r="E22" s="15" t="s">
        <v>51</v>
      </c>
    </row>
    <row r="23" spans="1:5" ht="12.75">
      <c r="A23" s="12" t="s">
        <v>350</v>
      </c>
      <c r="B23" s="4" t="s">
        <v>46</v>
      </c>
      <c r="C23" s="4" t="s">
        <v>233</v>
      </c>
      <c r="D23" s="4" t="s">
        <v>485</v>
      </c>
      <c r="E23" s="16" t="s">
        <v>523</v>
      </c>
    </row>
    <row r="24" spans="1:5" ht="12.75">
      <c r="A24" s="12" t="s">
        <v>113</v>
      </c>
      <c r="B24" s="4" t="s">
        <v>46</v>
      </c>
      <c r="C24" s="4" t="s">
        <v>52</v>
      </c>
      <c r="D24" s="4" t="s">
        <v>121</v>
      </c>
      <c r="E24" s="16" t="s">
        <v>524</v>
      </c>
    </row>
    <row r="29" spans="1:2" ht="18">
      <c r="A29" s="10" t="s">
        <v>58</v>
      </c>
      <c r="B29" s="10"/>
    </row>
    <row r="30" spans="1:3" ht="15">
      <c r="A30" s="15" t="s">
        <v>59</v>
      </c>
      <c r="B30" s="15" t="s">
        <v>60</v>
      </c>
      <c r="C30" s="15" t="s">
        <v>61</v>
      </c>
    </row>
    <row r="31" spans="1:3" ht="12.75">
      <c r="A31" s="4" t="s">
        <v>117</v>
      </c>
      <c r="B31" s="4" t="s">
        <v>62</v>
      </c>
      <c r="C31" s="4" t="s">
        <v>145</v>
      </c>
    </row>
    <row r="32" spans="1:3" ht="12.75">
      <c r="A32" s="4" t="s">
        <v>69</v>
      </c>
      <c r="B32" s="4" t="s">
        <v>62</v>
      </c>
      <c r="C32" s="4" t="s">
        <v>525</v>
      </c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6">
      <selection activeCell="E30" sqref="E30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53.375" style="4" bestFit="1" customWidth="1"/>
    <col min="4" max="4" width="9.25390625" style="4" bestFit="1" customWidth="1"/>
    <col min="5" max="5" width="22.75390625" style="4" bestFit="1" customWidth="1"/>
    <col min="6" max="6" width="28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9.00390625" style="4" bestFit="1" customWidth="1"/>
    <col min="14" max="16384" width="9.125" style="3" customWidth="1"/>
  </cols>
  <sheetData>
    <row r="1" spans="1:13" s="2" customFormat="1" ht="28.5" customHeight="1">
      <c r="A1" s="50" t="s">
        <v>667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6</v>
      </c>
      <c r="C3" s="58" t="s">
        <v>7</v>
      </c>
      <c r="D3" s="60" t="s">
        <v>9</v>
      </c>
      <c r="E3" s="60" t="s">
        <v>4</v>
      </c>
      <c r="F3" s="60" t="s">
        <v>8</v>
      </c>
      <c r="G3" s="60" t="s">
        <v>12</v>
      </c>
      <c r="H3" s="60"/>
      <c r="I3" s="60"/>
      <c r="J3" s="60"/>
      <c r="K3" s="60" t="s">
        <v>250</v>
      </c>
      <c r="L3" s="60" t="s">
        <v>3</v>
      </c>
      <c r="M3" s="61" t="s">
        <v>2</v>
      </c>
    </row>
    <row r="4" spans="1:13" s="1" customFormat="1" ht="21" customHeight="1" thickBot="1">
      <c r="A4" s="57"/>
      <c r="B4" s="59"/>
      <c r="C4" s="59"/>
      <c r="D4" s="59"/>
      <c r="E4" s="59"/>
      <c r="F4" s="59"/>
      <c r="G4" s="5">
        <v>1</v>
      </c>
      <c r="H4" s="5">
        <v>2</v>
      </c>
      <c r="I4" s="5">
        <v>3</v>
      </c>
      <c r="J4" s="5" t="s">
        <v>5</v>
      </c>
      <c r="K4" s="59"/>
      <c r="L4" s="59"/>
      <c r="M4" s="62"/>
    </row>
    <row r="5" spans="1:12" ht="15">
      <c r="A5" s="46" t="s">
        <v>297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6" t="s">
        <v>299</v>
      </c>
      <c r="B6" s="6" t="s">
        <v>300</v>
      </c>
      <c r="C6" s="6" t="s">
        <v>301</v>
      </c>
      <c r="D6" s="6" t="str">
        <f>"0,9645"</f>
        <v>0,9645</v>
      </c>
      <c r="E6" s="6" t="s">
        <v>69</v>
      </c>
      <c r="F6" s="6" t="s">
        <v>32</v>
      </c>
      <c r="G6" s="8" t="s">
        <v>105</v>
      </c>
      <c r="H6" s="8" t="s">
        <v>70</v>
      </c>
      <c r="I6" s="8" t="s">
        <v>152</v>
      </c>
      <c r="J6" s="7"/>
      <c r="K6" s="6" t="str">
        <f>"72,5"</f>
        <v>72,5</v>
      </c>
      <c r="L6" s="8" t="str">
        <f>"72,7233"</f>
        <v>72,7233</v>
      </c>
      <c r="M6" s="6" t="s">
        <v>78</v>
      </c>
    </row>
    <row r="8" spans="1:12" ht="15">
      <c r="A8" s="48" t="s">
        <v>147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3" ht="12.75">
      <c r="A9" s="17" t="s">
        <v>481</v>
      </c>
      <c r="B9" s="17" t="s">
        <v>482</v>
      </c>
      <c r="C9" s="17" t="s">
        <v>483</v>
      </c>
      <c r="D9" s="17" t="str">
        <f>"0,6687"</f>
        <v>0,6687</v>
      </c>
      <c r="E9" s="17" t="s">
        <v>484</v>
      </c>
      <c r="F9" s="17" t="s">
        <v>85</v>
      </c>
      <c r="G9" s="18" t="s">
        <v>120</v>
      </c>
      <c r="H9" s="18" t="s">
        <v>358</v>
      </c>
      <c r="I9" s="19" t="s">
        <v>485</v>
      </c>
      <c r="J9" s="19"/>
      <c r="K9" s="17" t="str">
        <f>"205,0"</f>
        <v>205,0</v>
      </c>
      <c r="L9" s="18" t="str">
        <f>"142,5668"</f>
        <v>142,5668</v>
      </c>
      <c r="M9" s="17" t="s">
        <v>486</v>
      </c>
    </row>
    <row r="10" spans="1:13" ht="12.75">
      <c r="A10" s="23" t="s">
        <v>487</v>
      </c>
      <c r="B10" s="23" t="s">
        <v>188</v>
      </c>
      <c r="C10" s="23" t="s">
        <v>189</v>
      </c>
      <c r="D10" s="23" t="str">
        <f>"0,6993"</f>
        <v>0,6993</v>
      </c>
      <c r="E10" s="23" t="s">
        <v>179</v>
      </c>
      <c r="F10" s="23" t="s">
        <v>19</v>
      </c>
      <c r="G10" s="24" t="s">
        <v>37</v>
      </c>
      <c r="H10" s="24" t="s">
        <v>201</v>
      </c>
      <c r="I10" s="24" t="s">
        <v>98</v>
      </c>
      <c r="J10" s="25"/>
      <c r="K10" s="23" t="str">
        <f>"150,0"</f>
        <v>150,0</v>
      </c>
      <c r="L10" s="24" t="str">
        <f>"104,8950"</f>
        <v>104,8950</v>
      </c>
      <c r="M10" s="23" t="s">
        <v>190</v>
      </c>
    </row>
    <row r="12" spans="1:12" ht="15">
      <c r="A12" s="48" t="s">
        <v>92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3" ht="12.75">
      <c r="A13" s="6" t="s">
        <v>489</v>
      </c>
      <c r="B13" s="6" t="s">
        <v>490</v>
      </c>
      <c r="C13" s="6" t="s">
        <v>491</v>
      </c>
      <c r="D13" s="6" t="str">
        <f>"0,6364"</f>
        <v>0,6364</v>
      </c>
      <c r="E13" s="6" t="s">
        <v>31</v>
      </c>
      <c r="F13" s="6" t="s">
        <v>160</v>
      </c>
      <c r="G13" s="8" t="s">
        <v>492</v>
      </c>
      <c r="H13" s="8" t="s">
        <v>493</v>
      </c>
      <c r="I13" s="8" t="s">
        <v>494</v>
      </c>
      <c r="J13" s="7"/>
      <c r="K13" s="6" t="str">
        <f>"217,5"</f>
        <v>217,5</v>
      </c>
      <c r="L13" s="8" t="str">
        <f>"141,1853"</f>
        <v>141,1853</v>
      </c>
      <c r="M13" s="6" t="s">
        <v>495</v>
      </c>
    </row>
    <row r="15" spans="1:12" ht="15">
      <c r="A15" s="48" t="s">
        <v>196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3" ht="12.75">
      <c r="A16" s="6" t="s">
        <v>497</v>
      </c>
      <c r="B16" s="6" t="s">
        <v>498</v>
      </c>
      <c r="C16" s="6" t="s">
        <v>499</v>
      </c>
      <c r="D16" s="6" t="str">
        <f>"0,5995"</f>
        <v>0,5995</v>
      </c>
      <c r="E16" s="6" t="s">
        <v>69</v>
      </c>
      <c r="F16" s="6" t="s">
        <v>32</v>
      </c>
      <c r="G16" s="8" t="s">
        <v>161</v>
      </c>
      <c r="H16" s="8" t="s">
        <v>22</v>
      </c>
      <c r="I16" s="7"/>
      <c r="J16" s="7"/>
      <c r="K16" s="6" t="str">
        <f>"170,0"</f>
        <v>170,0</v>
      </c>
      <c r="L16" s="8" t="str">
        <f>"162,0449"</f>
        <v>162,0449</v>
      </c>
      <c r="M16" s="6" t="s">
        <v>208</v>
      </c>
    </row>
    <row r="18" spans="1:12" ht="15">
      <c r="A18" s="48" t="s">
        <v>202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3" ht="12.75">
      <c r="A19" s="17" t="s">
        <v>501</v>
      </c>
      <c r="B19" s="17" t="s">
        <v>502</v>
      </c>
      <c r="C19" s="17" t="s">
        <v>503</v>
      </c>
      <c r="D19" s="17" t="str">
        <f>"0,5562"</f>
        <v>0,5562</v>
      </c>
      <c r="E19" s="17" t="s">
        <v>84</v>
      </c>
      <c r="F19" s="17" t="s">
        <v>85</v>
      </c>
      <c r="G19" s="18" t="s">
        <v>504</v>
      </c>
      <c r="H19" s="19" t="s">
        <v>505</v>
      </c>
      <c r="I19" s="19"/>
      <c r="J19" s="19"/>
      <c r="K19" s="17" t="str">
        <f>"280,0"</f>
        <v>280,0</v>
      </c>
      <c r="L19" s="18" t="str">
        <f>"155,7220"</f>
        <v>155,7220</v>
      </c>
      <c r="M19" s="17" t="s">
        <v>91</v>
      </c>
    </row>
    <row r="20" spans="1:13" ht="12.75">
      <c r="A20" s="23" t="s">
        <v>507</v>
      </c>
      <c r="B20" s="23" t="s">
        <v>508</v>
      </c>
      <c r="C20" s="23" t="s">
        <v>509</v>
      </c>
      <c r="D20" s="23" t="str">
        <f>"0,5598"</f>
        <v>0,5598</v>
      </c>
      <c r="E20" s="23" t="s">
        <v>69</v>
      </c>
      <c r="F20" s="23" t="s">
        <v>32</v>
      </c>
      <c r="G20" s="24" t="s">
        <v>121</v>
      </c>
      <c r="H20" s="24" t="s">
        <v>20</v>
      </c>
      <c r="I20" s="25" t="s">
        <v>122</v>
      </c>
      <c r="J20" s="25"/>
      <c r="K20" s="23" t="str">
        <f>"210,0"</f>
        <v>210,0</v>
      </c>
      <c r="L20" s="24" t="str">
        <f>"117,5580"</f>
        <v>117,5580</v>
      </c>
      <c r="M20" s="23" t="s">
        <v>208</v>
      </c>
    </row>
    <row r="22" spans="1:12" ht="15">
      <c r="A22" s="48" t="s">
        <v>13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3" ht="12.75">
      <c r="A23" s="6" t="s">
        <v>114</v>
      </c>
      <c r="B23" s="6" t="s">
        <v>115</v>
      </c>
      <c r="C23" s="6" t="s">
        <v>116</v>
      </c>
      <c r="D23" s="6" t="str">
        <f>"0,5411"</f>
        <v>0,5411</v>
      </c>
      <c r="E23" s="6" t="s">
        <v>117</v>
      </c>
      <c r="F23" s="6" t="s">
        <v>118</v>
      </c>
      <c r="G23" s="8" t="s">
        <v>121</v>
      </c>
      <c r="H23" s="8" t="s">
        <v>122</v>
      </c>
      <c r="I23" s="7" t="s">
        <v>123</v>
      </c>
      <c r="J23" s="7"/>
      <c r="K23" s="6" t="str">
        <f>"220,0"</f>
        <v>220,0</v>
      </c>
      <c r="L23" s="8" t="str">
        <f>"119,0420"</f>
        <v>119,0420</v>
      </c>
      <c r="M23" s="6" t="s">
        <v>124</v>
      </c>
    </row>
    <row r="25" spans="5:6" ht="15">
      <c r="E25" s="9" t="s">
        <v>40</v>
      </c>
      <c r="F25" s="45" t="s">
        <v>686</v>
      </c>
    </row>
    <row r="26" spans="5:6" ht="15">
      <c r="E26" s="9" t="s">
        <v>41</v>
      </c>
      <c r="F26" s="45" t="s">
        <v>687</v>
      </c>
    </row>
    <row r="27" spans="5:6" ht="15">
      <c r="E27" s="9" t="s">
        <v>42</v>
      </c>
      <c r="F27" s="45" t="s">
        <v>688</v>
      </c>
    </row>
    <row r="28" spans="5:6" ht="15">
      <c r="E28" s="9" t="s">
        <v>43</v>
      </c>
      <c r="F28" s="45" t="s">
        <v>689</v>
      </c>
    </row>
    <row r="29" spans="5:6" ht="15">
      <c r="E29" s="9" t="s">
        <v>43</v>
      </c>
      <c r="F29" s="45" t="s">
        <v>690</v>
      </c>
    </row>
    <row r="30" ht="15">
      <c r="E30" s="9"/>
    </row>
    <row r="31" ht="15">
      <c r="E31" s="9"/>
    </row>
    <row r="33" spans="1:2" ht="18">
      <c r="A33" s="10" t="s">
        <v>44</v>
      </c>
      <c r="B33" s="10"/>
    </row>
    <row r="34" spans="1:2" ht="15">
      <c r="A34" s="11" t="s">
        <v>45</v>
      </c>
      <c r="B34" s="11"/>
    </row>
    <row r="35" spans="1:2" ht="14.25">
      <c r="A35" s="13"/>
      <c r="B35" s="14" t="s">
        <v>128</v>
      </c>
    </row>
    <row r="36" spans="1:5" ht="15">
      <c r="A36" s="15" t="s">
        <v>47</v>
      </c>
      <c r="B36" s="15" t="s">
        <v>48</v>
      </c>
      <c r="C36" s="15" t="s">
        <v>49</v>
      </c>
      <c r="D36" s="15" t="s">
        <v>50</v>
      </c>
      <c r="E36" s="15" t="s">
        <v>51</v>
      </c>
    </row>
    <row r="37" spans="1:5" ht="12.75">
      <c r="A37" s="12" t="s">
        <v>480</v>
      </c>
      <c r="B37" s="4" t="s">
        <v>388</v>
      </c>
      <c r="C37" s="4" t="s">
        <v>168</v>
      </c>
      <c r="D37" s="4" t="s">
        <v>358</v>
      </c>
      <c r="E37" s="16" t="s">
        <v>510</v>
      </c>
    </row>
    <row r="38" spans="1:5" ht="12.75">
      <c r="A38" s="12" t="s">
        <v>298</v>
      </c>
      <c r="B38" s="4" t="s">
        <v>388</v>
      </c>
      <c r="C38" s="4" t="s">
        <v>389</v>
      </c>
      <c r="D38" s="4" t="s">
        <v>152</v>
      </c>
      <c r="E38" s="16" t="s">
        <v>511</v>
      </c>
    </row>
    <row r="40" spans="1:2" ht="14.25">
      <c r="A40" s="13"/>
      <c r="B40" s="14" t="s">
        <v>391</v>
      </c>
    </row>
    <row r="41" spans="1:5" ht="15">
      <c r="A41" s="15" t="s">
        <v>47</v>
      </c>
      <c r="B41" s="15" t="s">
        <v>48</v>
      </c>
      <c r="C41" s="15" t="s">
        <v>49</v>
      </c>
      <c r="D41" s="15" t="s">
        <v>50</v>
      </c>
      <c r="E41" s="15" t="s">
        <v>51</v>
      </c>
    </row>
    <row r="42" spans="1:5" ht="12.75">
      <c r="A42" s="12" t="s">
        <v>500</v>
      </c>
      <c r="B42" s="4" t="s">
        <v>392</v>
      </c>
      <c r="C42" s="4" t="s">
        <v>233</v>
      </c>
      <c r="D42" s="4" t="s">
        <v>504</v>
      </c>
      <c r="E42" s="16" t="s">
        <v>512</v>
      </c>
    </row>
    <row r="43" spans="1:5" ht="12.75">
      <c r="A43" s="12" t="s">
        <v>488</v>
      </c>
      <c r="B43" s="4" t="s">
        <v>392</v>
      </c>
      <c r="C43" s="4" t="s">
        <v>134</v>
      </c>
      <c r="D43" s="4" t="s">
        <v>494</v>
      </c>
      <c r="E43" s="16" t="s">
        <v>513</v>
      </c>
    </row>
    <row r="45" spans="1:2" ht="14.25">
      <c r="A45" s="13"/>
      <c r="B45" s="14" t="s">
        <v>46</v>
      </c>
    </row>
    <row r="46" spans="1:5" ht="15">
      <c r="A46" s="15" t="s">
        <v>47</v>
      </c>
      <c r="B46" s="15" t="s">
        <v>48</v>
      </c>
      <c r="C46" s="15" t="s">
        <v>49</v>
      </c>
      <c r="D46" s="15" t="s">
        <v>50</v>
      </c>
      <c r="E46" s="15" t="s">
        <v>51</v>
      </c>
    </row>
    <row r="47" spans="1:5" ht="12.75">
      <c r="A47" s="12" t="s">
        <v>113</v>
      </c>
      <c r="B47" s="4" t="s">
        <v>46</v>
      </c>
      <c r="C47" s="4" t="s">
        <v>52</v>
      </c>
      <c r="D47" s="4" t="s">
        <v>122</v>
      </c>
      <c r="E47" s="16" t="s">
        <v>514</v>
      </c>
    </row>
    <row r="48" spans="1:5" ht="12.75">
      <c r="A48" s="12" t="s">
        <v>506</v>
      </c>
      <c r="B48" s="4" t="s">
        <v>46</v>
      </c>
      <c r="C48" s="4" t="s">
        <v>233</v>
      </c>
      <c r="D48" s="4" t="s">
        <v>20</v>
      </c>
      <c r="E48" s="16" t="s">
        <v>515</v>
      </c>
    </row>
    <row r="49" spans="1:5" ht="12.75">
      <c r="A49" s="12" t="s">
        <v>186</v>
      </c>
      <c r="B49" s="4" t="s">
        <v>46</v>
      </c>
      <c r="C49" s="4" t="s">
        <v>168</v>
      </c>
      <c r="D49" s="4" t="s">
        <v>98</v>
      </c>
      <c r="E49" s="16" t="s">
        <v>516</v>
      </c>
    </row>
    <row r="51" spans="1:2" ht="14.25">
      <c r="A51" s="13"/>
      <c r="B51" s="14" t="s">
        <v>166</v>
      </c>
    </row>
    <row r="52" spans="1:5" ht="15">
      <c r="A52" s="15" t="s">
        <v>47</v>
      </c>
      <c r="B52" s="15" t="s">
        <v>48</v>
      </c>
      <c r="C52" s="15" t="s">
        <v>49</v>
      </c>
      <c r="D52" s="15" t="s">
        <v>50</v>
      </c>
      <c r="E52" s="15" t="s">
        <v>51</v>
      </c>
    </row>
    <row r="53" spans="1:5" ht="12.75">
      <c r="A53" s="12" t="s">
        <v>496</v>
      </c>
      <c r="B53" s="4" t="s">
        <v>412</v>
      </c>
      <c r="C53" s="4" t="s">
        <v>241</v>
      </c>
      <c r="D53" s="4" t="s">
        <v>22</v>
      </c>
      <c r="E53" s="16" t="s">
        <v>517</v>
      </c>
    </row>
    <row r="58" spans="1:2" ht="18">
      <c r="A58" s="10" t="s">
        <v>58</v>
      </c>
      <c r="B58" s="10"/>
    </row>
    <row r="59" spans="1:3" ht="15">
      <c r="A59" s="15" t="s">
        <v>59</v>
      </c>
      <c r="B59" s="15" t="s">
        <v>60</v>
      </c>
      <c r="C59" s="15" t="s">
        <v>61</v>
      </c>
    </row>
    <row r="60" spans="1:3" ht="12.75">
      <c r="A60" s="4" t="s">
        <v>69</v>
      </c>
      <c r="B60" s="4" t="s">
        <v>245</v>
      </c>
      <c r="C60" s="4" t="s">
        <v>518</v>
      </c>
    </row>
    <row r="61" spans="1:3" ht="12.75">
      <c r="A61" s="4" t="s">
        <v>117</v>
      </c>
      <c r="B61" s="4" t="s">
        <v>62</v>
      </c>
      <c r="C61" s="4" t="s">
        <v>145</v>
      </c>
    </row>
    <row r="62" spans="1:3" ht="12.75">
      <c r="A62" s="4" t="s">
        <v>484</v>
      </c>
      <c r="B62" s="4" t="s">
        <v>62</v>
      </c>
      <c r="C62" s="4" t="s">
        <v>519</v>
      </c>
    </row>
    <row r="63" spans="1:3" ht="12.75">
      <c r="A63" s="4" t="s">
        <v>84</v>
      </c>
      <c r="B63" s="4" t="s">
        <v>62</v>
      </c>
      <c r="C63" s="4" t="s">
        <v>520</v>
      </c>
    </row>
    <row r="64" spans="1:3" ht="12.75">
      <c r="A64" s="4" t="s">
        <v>179</v>
      </c>
      <c r="B64" s="4" t="s">
        <v>62</v>
      </c>
      <c r="C64" s="4" t="s">
        <v>521</v>
      </c>
    </row>
  </sheetData>
  <sheetProtection/>
  <mergeCells count="17">
    <mergeCell ref="A15:L15"/>
    <mergeCell ref="A18:L18"/>
    <mergeCell ref="A22:L22"/>
    <mergeCell ref="K3:K4"/>
    <mergeCell ref="L3:L4"/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8.875" style="4" bestFit="1" customWidth="1"/>
    <col min="7" max="8" width="5.625" style="3" bestFit="1" customWidth="1"/>
    <col min="9" max="9" width="2.1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0" t="s">
        <v>668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6</v>
      </c>
      <c r="C3" s="58" t="s">
        <v>7</v>
      </c>
      <c r="D3" s="60" t="s">
        <v>9</v>
      </c>
      <c r="E3" s="60" t="s">
        <v>4</v>
      </c>
      <c r="F3" s="60" t="s">
        <v>8</v>
      </c>
      <c r="G3" s="60" t="s">
        <v>12</v>
      </c>
      <c r="H3" s="60"/>
      <c r="I3" s="60"/>
      <c r="J3" s="60"/>
      <c r="K3" s="60" t="s">
        <v>250</v>
      </c>
      <c r="L3" s="60" t="s">
        <v>3</v>
      </c>
      <c r="M3" s="61" t="s">
        <v>2</v>
      </c>
    </row>
    <row r="4" spans="1:13" s="1" customFormat="1" ht="21" customHeight="1" thickBot="1">
      <c r="A4" s="57"/>
      <c r="B4" s="59"/>
      <c r="C4" s="59"/>
      <c r="D4" s="59"/>
      <c r="E4" s="59"/>
      <c r="F4" s="59"/>
      <c r="G4" s="5">
        <v>1</v>
      </c>
      <c r="H4" s="5">
        <v>2</v>
      </c>
      <c r="I4" s="5">
        <v>3</v>
      </c>
      <c r="J4" s="5" t="s">
        <v>5</v>
      </c>
      <c r="K4" s="59"/>
      <c r="L4" s="59"/>
      <c r="M4" s="62"/>
    </row>
    <row r="5" spans="1:12" ht="15">
      <c r="A5" s="46" t="s">
        <v>196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6" t="s">
        <v>475</v>
      </c>
      <c r="B6" s="6" t="s">
        <v>476</v>
      </c>
      <c r="C6" s="6" t="s">
        <v>477</v>
      </c>
      <c r="D6" s="6" t="str">
        <f>"0,5859"</f>
        <v>0,5859</v>
      </c>
      <c r="E6" s="6" t="s">
        <v>31</v>
      </c>
      <c r="F6" s="6" t="s">
        <v>160</v>
      </c>
      <c r="G6" s="8" t="s">
        <v>21</v>
      </c>
      <c r="H6" s="7" t="s">
        <v>478</v>
      </c>
      <c r="I6" s="7"/>
      <c r="J6" s="7"/>
      <c r="K6" s="6" t="str">
        <f>"230,0"</f>
        <v>230,0</v>
      </c>
      <c r="L6" s="8" t="str">
        <f>"134,7570"</f>
        <v>134,7570</v>
      </c>
      <c r="M6" s="6" t="s">
        <v>124</v>
      </c>
    </row>
    <row r="8" spans="5:6" ht="15">
      <c r="E8" s="9" t="s">
        <v>40</v>
      </c>
      <c r="F8" s="45" t="s">
        <v>686</v>
      </c>
    </row>
    <row r="9" spans="5:6" ht="15">
      <c r="E9" s="9" t="s">
        <v>41</v>
      </c>
      <c r="F9" s="45" t="s">
        <v>687</v>
      </c>
    </row>
    <row r="10" spans="5:6" ht="15">
      <c r="E10" s="9" t="s">
        <v>42</v>
      </c>
      <c r="F10" s="45" t="s">
        <v>688</v>
      </c>
    </row>
    <row r="11" spans="5:6" ht="15">
      <c r="E11" s="9" t="s">
        <v>43</v>
      </c>
      <c r="F11" s="45" t="s">
        <v>689</v>
      </c>
    </row>
    <row r="12" spans="5:6" ht="15">
      <c r="E12" s="9" t="s">
        <v>43</v>
      </c>
      <c r="F12" s="45" t="s">
        <v>690</v>
      </c>
    </row>
    <row r="13" ht="15">
      <c r="E13" s="9"/>
    </row>
    <row r="14" ht="15">
      <c r="E14" s="9"/>
    </row>
    <row r="16" spans="1:2" ht="18">
      <c r="A16" s="10" t="s">
        <v>44</v>
      </c>
      <c r="B16" s="10"/>
    </row>
    <row r="17" spans="1:2" ht="15">
      <c r="A17" s="11" t="s">
        <v>45</v>
      </c>
      <c r="B17" s="11"/>
    </row>
    <row r="18" spans="1:2" ht="14.25">
      <c r="A18" s="13"/>
      <c r="B18" s="14" t="s">
        <v>46</v>
      </c>
    </row>
    <row r="19" spans="1:5" ht="15">
      <c r="A19" s="15" t="s">
        <v>47</v>
      </c>
      <c r="B19" s="15" t="s">
        <v>48</v>
      </c>
      <c r="C19" s="15" t="s">
        <v>49</v>
      </c>
      <c r="D19" s="15" t="s">
        <v>50</v>
      </c>
      <c r="E19" s="15" t="s">
        <v>51</v>
      </c>
    </row>
    <row r="20" spans="1:5" ht="12.75">
      <c r="A20" s="12" t="s">
        <v>474</v>
      </c>
      <c r="B20" s="4" t="s">
        <v>46</v>
      </c>
      <c r="C20" s="4" t="s">
        <v>241</v>
      </c>
      <c r="D20" s="4" t="s">
        <v>21</v>
      </c>
      <c r="E20" s="16" t="s">
        <v>479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19.00390625" style="4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0" t="s">
        <v>669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6</v>
      </c>
      <c r="C3" s="58" t="s">
        <v>7</v>
      </c>
      <c r="D3" s="60" t="s">
        <v>9</v>
      </c>
      <c r="E3" s="60" t="s">
        <v>4</v>
      </c>
      <c r="F3" s="60" t="s">
        <v>8</v>
      </c>
      <c r="G3" s="60" t="s">
        <v>11</v>
      </c>
      <c r="H3" s="60"/>
      <c r="I3" s="60"/>
      <c r="J3" s="60"/>
      <c r="K3" s="60" t="s">
        <v>250</v>
      </c>
      <c r="L3" s="60" t="s">
        <v>3</v>
      </c>
      <c r="M3" s="61" t="s">
        <v>2</v>
      </c>
    </row>
    <row r="4" spans="1:13" s="1" customFormat="1" ht="21" customHeight="1" thickBot="1">
      <c r="A4" s="57"/>
      <c r="B4" s="59"/>
      <c r="C4" s="59"/>
      <c r="D4" s="59"/>
      <c r="E4" s="59"/>
      <c r="F4" s="59"/>
      <c r="G4" s="5">
        <v>1</v>
      </c>
      <c r="H4" s="5">
        <v>2</v>
      </c>
      <c r="I4" s="5">
        <v>3</v>
      </c>
      <c r="J4" s="5" t="s">
        <v>5</v>
      </c>
      <c r="K4" s="59"/>
      <c r="L4" s="59"/>
      <c r="M4" s="62"/>
    </row>
    <row r="5" spans="1:12" ht="15">
      <c r="A5" s="46" t="s">
        <v>202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6" t="s">
        <v>467</v>
      </c>
      <c r="B6" s="6" t="s">
        <v>468</v>
      </c>
      <c r="C6" s="6" t="s">
        <v>469</v>
      </c>
      <c r="D6" s="6" t="str">
        <f>"0,5707"</f>
        <v>0,5707</v>
      </c>
      <c r="E6" s="6" t="s">
        <v>31</v>
      </c>
      <c r="F6" s="6" t="s">
        <v>470</v>
      </c>
      <c r="G6" s="7" t="s">
        <v>471</v>
      </c>
      <c r="H6" s="8" t="s">
        <v>471</v>
      </c>
      <c r="I6" s="8" t="s">
        <v>472</v>
      </c>
      <c r="J6" s="7"/>
      <c r="K6" s="6" t="str">
        <f>"270,0"</f>
        <v>270,0</v>
      </c>
      <c r="L6" s="8" t="str">
        <f>"154,0890"</f>
        <v>154,0890</v>
      </c>
      <c r="M6" s="6" t="s">
        <v>124</v>
      </c>
    </row>
    <row r="8" spans="5:6" ht="15">
      <c r="E8" s="9" t="s">
        <v>40</v>
      </c>
      <c r="F8" s="45" t="s">
        <v>686</v>
      </c>
    </row>
    <row r="9" spans="5:6" ht="15">
      <c r="E9" s="9" t="s">
        <v>41</v>
      </c>
      <c r="F9" s="45" t="s">
        <v>687</v>
      </c>
    </row>
    <row r="10" spans="5:6" ht="15">
      <c r="E10" s="9" t="s">
        <v>42</v>
      </c>
      <c r="F10" s="45" t="s">
        <v>688</v>
      </c>
    </row>
    <row r="11" spans="5:6" ht="15">
      <c r="E11" s="9" t="s">
        <v>43</v>
      </c>
      <c r="F11" s="45" t="s">
        <v>689</v>
      </c>
    </row>
    <row r="12" spans="5:6" ht="15">
      <c r="E12" s="9" t="s">
        <v>43</v>
      </c>
      <c r="F12" s="45" t="s">
        <v>690</v>
      </c>
    </row>
    <row r="13" ht="15">
      <c r="E13" s="9"/>
    </row>
    <row r="14" ht="15">
      <c r="E14" s="9"/>
    </row>
    <row r="16" spans="1:2" ht="18">
      <c r="A16" s="10" t="s">
        <v>44</v>
      </c>
      <c r="B16" s="10"/>
    </row>
    <row r="17" spans="1:2" ht="15">
      <c r="A17" s="11" t="s">
        <v>45</v>
      </c>
      <c r="B17" s="11"/>
    </row>
    <row r="18" spans="1:2" ht="14.25">
      <c r="A18" s="13"/>
      <c r="B18" s="14" t="s">
        <v>46</v>
      </c>
    </row>
    <row r="19" spans="1:5" ht="15">
      <c r="A19" s="15" t="s">
        <v>47</v>
      </c>
      <c r="B19" s="15" t="s">
        <v>48</v>
      </c>
      <c r="C19" s="15" t="s">
        <v>49</v>
      </c>
      <c r="D19" s="15" t="s">
        <v>50</v>
      </c>
      <c r="E19" s="15" t="s">
        <v>51</v>
      </c>
    </row>
    <row r="20" spans="1:5" ht="12.75">
      <c r="A20" s="12" t="s">
        <v>466</v>
      </c>
      <c r="B20" s="4" t="s">
        <v>46</v>
      </c>
      <c r="C20" s="4" t="s">
        <v>233</v>
      </c>
      <c r="D20" s="4" t="s">
        <v>472</v>
      </c>
      <c r="E20" s="16" t="s">
        <v>473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8" sqref="F8:F1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28.875" style="4" bestFit="1" customWidth="1"/>
    <col min="7" max="7" width="7.75390625" style="3" customWidth="1"/>
    <col min="8" max="8" width="13.00390625" style="3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0" t="s">
        <v>654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>
      <c r="A3" s="56" t="s">
        <v>0</v>
      </c>
      <c r="B3" s="58" t="s">
        <v>6</v>
      </c>
      <c r="C3" s="58" t="s">
        <v>7</v>
      </c>
      <c r="D3" s="60" t="s">
        <v>636</v>
      </c>
      <c r="E3" s="60" t="s">
        <v>4</v>
      </c>
      <c r="F3" s="60" t="s">
        <v>8</v>
      </c>
      <c r="G3" s="60" t="s">
        <v>637</v>
      </c>
      <c r="H3" s="60"/>
      <c r="I3" s="60" t="s">
        <v>585</v>
      </c>
      <c r="J3" s="60" t="s">
        <v>3</v>
      </c>
      <c r="K3" s="61" t="s">
        <v>2</v>
      </c>
    </row>
    <row r="4" spans="1:11" s="1" customFormat="1" ht="21" customHeight="1" thickBot="1">
      <c r="A4" s="57"/>
      <c r="B4" s="59"/>
      <c r="C4" s="59"/>
      <c r="D4" s="59"/>
      <c r="E4" s="59"/>
      <c r="F4" s="59"/>
      <c r="G4" s="5" t="s">
        <v>583</v>
      </c>
      <c r="H4" s="26" t="s">
        <v>584</v>
      </c>
      <c r="I4" s="59"/>
      <c r="J4" s="59"/>
      <c r="K4" s="62"/>
    </row>
    <row r="5" spans="1:10" ht="15">
      <c r="A5" s="46" t="s">
        <v>638</v>
      </c>
      <c r="B5" s="47"/>
      <c r="C5" s="47"/>
      <c r="D5" s="47"/>
      <c r="E5" s="47"/>
      <c r="F5" s="47"/>
      <c r="G5" s="47"/>
      <c r="H5" s="47"/>
      <c r="I5" s="47"/>
      <c r="J5" s="47"/>
    </row>
    <row r="6" spans="1:11" ht="12.75">
      <c r="A6" s="6" t="s">
        <v>640</v>
      </c>
      <c r="B6" s="6" t="s">
        <v>641</v>
      </c>
      <c r="C6" s="6" t="s">
        <v>642</v>
      </c>
      <c r="D6" s="6" t="str">
        <f>"1,0000"</f>
        <v>1,0000</v>
      </c>
      <c r="E6" s="6" t="s">
        <v>31</v>
      </c>
      <c r="F6" s="6" t="s">
        <v>160</v>
      </c>
      <c r="G6" s="8" t="s">
        <v>282</v>
      </c>
      <c r="H6" s="30" t="s">
        <v>643</v>
      </c>
      <c r="I6" s="6" t="str">
        <f>"2860,0"</f>
        <v>2860,0</v>
      </c>
      <c r="J6" s="8" t="str">
        <f>"35,1567"</f>
        <v>35,1567</v>
      </c>
      <c r="K6" s="6" t="s">
        <v>124</v>
      </c>
    </row>
    <row r="8" spans="5:6" ht="15">
      <c r="E8" s="9" t="s">
        <v>40</v>
      </c>
      <c r="F8" s="45" t="s">
        <v>686</v>
      </c>
    </row>
    <row r="9" spans="5:6" ht="15">
      <c r="E9" s="9" t="s">
        <v>41</v>
      </c>
      <c r="F9" s="45" t="s">
        <v>687</v>
      </c>
    </row>
    <row r="10" spans="5:6" ht="15">
      <c r="E10" s="9" t="s">
        <v>42</v>
      </c>
      <c r="F10" s="45" t="s">
        <v>688</v>
      </c>
    </row>
    <row r="11" spans="5:6" ht="15">
      <c r="E11" s="9" t="s">
        <v>43</v>
      </c>
      <c r="F11" s="45" t="s">
        <v>689</v>
      </c>
    </row>
    <row r="12" spans="5:6" ht="15">
      <c r="E12" s="9" t="s">
        <v>43</v>
      </c>
      <c r="F12" s="45" t="s">
        <v>690</v>
      </c>
    </row>
    <row r="13" ht="15">
      <c r="E13" s="9"/>
    </row>
    <row r="14" ht="15">
      <c r="E14" s="9"/>
    </row>
    <row r="16" spans="1:2" ht="18">
      <c r="A16" s="10" t="s">
        <v>44</v>
      </c>
      <c r="B16" s="10"/>
    </row>
    <row r="17" spans="1:2" ht="15">
      <c r="A17" s="11" t="s">
        <v>45</v>
      </c>
      <c r="B17" s="11"/>
    </row>
    <row r="18" spans="1:2" ht="14.25">
      <c r="A18" s="13"/>
      <c r="B18" s="14" t="s">
        <v>46</v>
      </c>
    </row>
    <row r="19" spans="1:5" ht="15">
      <c r="A19" s="15" t="s">
        <v>47</v>
      </c>
      <c r="B19" s="15" t="s">
        <v>48</v>
      </c>
      <c r="C19" s="15" t="s">
        <v>49</v>
      </c>
      <c r="D19" s="15" t="s">
        <v>50</v>
      </c>
      <c r="E19" s="15" t="s">
        <v>644</v>
      </c>
    </row>
    <row r="20" spans="1:5" ht="12.75">
      <c r="A20" s="12" t="s">
        <v>639</v>
      </c>
      <c r="B20" s="4" t="s">
        <v>46</v>
      </c>
      <c r="C20" s="4" t="s">
        <v>645</v>
      </c>
      <c r="D20" s="4" t="s">
        <v>646</v>
      </c>
      <c r="E20" s="16" t="s">
        <v>647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7.75390625" style="4" bestFit="1" customWidth="1"/>
    <col min="4" max="4" width="9.25390625" style="4" bestFit="1" customWidth="1"/>
    <col min="5" max="5" width="22.75390625" style="4" bestFit="1" customWidth="1"/>
    <col min="6" max="6" width="24.1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6.375" style="4" bestFit="1" customWidth="1"/>
    <col min="14" max="16384" width="9.125" style="3" customWidth="1"/>
  </cols>
  <sheetData>
    <row r="1" spans="1:13" s="2" customFormat="1" ht="28.5" customHeight="1">
      <c r="A1" s="50" t="s">
        <v>670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6</v>
      </c>
      <c r="C3" s="58" t="s">
        <v>7</v>
      </c>
      <c r="D3" s="60" t="s">
        <v>9</v>
      </c>
      <c r="E3" s="60" t="s">
        <v>4</v>
      </c>
      <c r="F3" s="60" t="s">
        <v>8</v>
      </c>
      <c r="G3" s="60" t="s">
        <v>11</v>
      </c>
      <c r="H3" s="60"/>
      <c r="I3" s="60"/>
      <c r="J3" s="60"/>
      <c r="K3" s="60" t="s">
        <v>250</v>
      </c>
      <c r="L3" s="60" t="s">
        <v>3</v>
      </c>
      <c r="M3" s="61" t="s">
        <v>2</v>
      </c>
    </row>
    <row r="4" spans="1:13" s="1" customFormat="1" ht="21" customHeight="1" thickBot="1">
      <c r="A4" s="57"/>
      <c r="B4" s="59"/>
      <c r="C4" s="59"/>
      <c r="D4" s="59"/>
      <c r="E4" s="59"/>
      <c r="F4" s="59"/>
      <c r="G4" s="5">
        <v>1</v>
      </c>
      <c r="H4" s="5">
        <v>2</v>
      </c>
      <c r="I4" s="5">
        <v>3</v>
      </c>
      <c r="J4" s="5" t="s">
        <v>5</v>
      </c>
      <c r="K4" s="59"/>
      <c r="L4" s="59"/>
      <c r="M4" s="62"/>
    </row>
    <row r="5" spans="1:12" ht="15">
      <c r="A5" s="46" t="s">
        <v>196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6" t="s">
        <v>460</v>
      </c>
      <c r="B6" s="6" t="s">
        <v>461</v>
      </c>
      <c r="C6" s="6" t="s">
        <v>462</v>
      </c>
      <c r="D6" s="6" t="str">
        <f>"0,5973"</f>
        <v>0,5973</v>
      </c>
      <c r="E6" s="6" t="s">
        <v>69</v>
      </c>
      <c r="F6" s="6" t="s">
        <v>32</v>
      </c>
      <c r="G6" s="7" t="s">
        <v>463</v>
      </c>
      <c r="H6" s="8" t="s">
        <v>463</v>
      </c>
      <c r="I6" s="8" t="s">
        <v>21</v>
      </c>
      <c r="J6" s="7"/>
      <c r="K6" s="6" t="str">
        <f>"230,0"</f>
        <v>230,0</v>
      </c>
      <c r="L6" s="8" t="str">
        <f>"137,3790"</f>
        <v>137,3790</v>
      </c>
      <c r="M6" s="6" t="s">
        <v>208</v>
      </c>
    </row>
    <row r="8" spans="5:6" ht="15">
      <c r="E8" s="9" t="s">
        <v>40</v>
      </c>
      <c r="F8" s="45" t="s">
        <v>686</v>
      </c>
    </row>
    <row r="9" spans="5:6" ht="15">
      <c r="E9" s="9" t="s">
        <v>41</v>
      </c>
      <c r="F9" s="45" t="s">
        <v>687</v>
      </c>
    </row>
    <row r="10" spans="5:6" ht="15">
      <c r="E10" s="9" t="s">
        <v>42</v>
      </c>
      <c r="F10" s="45" t="s">
        <v>688</v>
      </c>
    </row>
    <row r="11" spans="5:6" ht="15">
      <c r="E11" s="9" t="s">
        <v>43</v>
      </c>
      <c r="F11" s="45" t="s">
        <v>689</v>
      </c>
    </row>
    <row r="12" spans="5:6" ht="15">
      <c r="E12" s="9" t="s">
        <v>43</v>
      </c>
      <c r="F12" s="45" t="s">
        <v>690</v>
      </c>
    </row>
    <row r="13" ht="15">
      <c r="E13" s="9"/>
    </row>
    <row r="14" ht="15">
      <c r="E14" s="9"/>
    </row>
    <row r="16" spans="1:2" ht="18">
      <c r="A16" s="10" t="s">
        <v>44</v>
      </c>
      <c r="B16" s="10"/>
    </row>
    <row r="17" spans="1:2" ht="15">
      <c r="A17" s="11" t="s">
        <v>45</v>
      </c>
      <c r="B17" s="11"/>
    </row>
    <row r="18" spans="1:2" ht="14.25">
      <c r="A18" s="13"/>
      <c r="B18" s="14" t="s">
        <v>46</v>
      </c>
    </row>
    <row r="19" spans="1:5" ht="15">
      <c r="A19" s="15" t="s">
        <v>47</v>
      </c>
      <c r="B19" s="15" t="s">
        <v>48</v>
      </c>
      <c r="C19" s="15" t="s">
        <v>49</v>
      </c>
      <c r="D19" s="15" t="s">
        <v>50</v>
      </c>
      <c r="E19" s="15" t="s">
        <v>51</v>
      </c>
    </row>
    <row r="20" spans="1:5" ht="12.75">
      <c r="A20" s="12" t="s">
        <v>459</v>
      </c>
      <c r="B20" s="4" t="s">
        <v>46</v>
      </c>
      <c r="C20" s="4" t="s">
        <v>241</v>
      </c>
      <c r="D20" s="4" t="s">
        <v>21</v>
      </c>
      <c r="E20" s="16" t="s">
        <v>464</v>
      </c>
    </row>
    <row r="25" spans="1:2" ht="18">
      <c r="A25" s="10" t="s">
        <v>58</v>
      </c>
      <c r="B25" s="10"/>
    </row>
    <row r="26" spans="1:3" ht="15">
      <c r="A26" s="15" t="s">
        <v>59</v>
      </c>
      <c r="B26" s="15" t="s">
        <v>60</v>
      </c>
      <c r="C26" s="15" t="s">
        <v>61</v>
      </c>
    </row>
    <row r="27" spans="1:3" ht="12.75">
      <c r="A27" s="4" t="s">
        <v>69</v>
      </c>
      <c r="B27" s="4" t="s">
        <v>62</v>
      </c>
      <c r="C27" s="4" t="s">
        <v>465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4">
      <selection activeCell="E25" sqref="E25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42.125" style="4" bestFit="1" customWidth="1"/>
    <col min="4" max="4" width="9.25390625" style="4" bestFit="1" customWidth="1"/>
    <col min="5" max="5" width="30.75390625" style="4" bestFit="1" customWidth="1"/>
    <col min="6" max="6" width="29.00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9.00390625" style="4" bestFit="1" customWidth="1"/>
    <col min="14" max="16384" width="9.125" style="3" customWidth="1"/>
  </cols>
  <sheetData>
    <row r="1" spans="1:13" s="2" customFormat="1" ht="28.5" customHeight="1">
      <c r="A1" s="50" t="s">
        <v>671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6</v>
      </c>
      <c r="C3" s="58" t="s">
        <v>7</v>
      </c>
      <c r="D3" s="60" t="s">
        <v>9</v>
      </c>
      <c r="E3" s="60" t="s">
        <v>4</v>
      </c>
      <c r="F3" s="60" t="s">
        <v>8</v>
      </c>
      <c r="G3" s="60" t="s">
        <v>11</v>
      </c>
      <c r="H3" s="60"/>
      <c r="I3" s="60"/>
      <c r="J3" s="60"/>
      <c r="K3" s="60" t="s">
        <v>250</v>
      </c>
      <c r="L3" s="60" t="s">
        <v>3</v>
      </c>
      <c r="M3" s="61" t="s">
        <v>2</v>
      </c>
    </row>
    <row r="4" spans="1:13" s="1" customFormat="1" ht="21" customHeight="1" thickBot="1">
      <c r="A4" s="57"/>
      <c r="B4" s="59"/>
      <c r="C4" s="59"/>
      <c r="D4" s="59"/>
      <c r="E4" s="59"/>
      <c r="F4" s="59"/>
      <c r="G4" s="5">
        <v>1</v>
      </c>
      <c r="H4" s="5">
        <v>2</v>
      </c>
      <c r="I4" s="5">
        <v>3</v>
      </c>
      <c r="J4" s="5" t="s">
        <v>5</v>
      </c>
      <c r="K4" s="59"/>
      <c r="L4" s="59"/>
      <c r="M4" s="62"/>
    </row>
    <row r="5" spans="1:12" ht="15">
      <c r="A5" s="46" t="s">
        <v>196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17" t="s">
        <v>417</v>
      </c>
      <c r="B6" s="17" t="s">
        <v>418</v>
      </c>
      <c r="C6" s="17" t="s">
        <v>419</v>
      </c>
      <c r="D6" s="17" t="str">
        <f>"0,5922"</f>
        <v>0,5922</v>
      </c>
      <c r="E6" s="17" t="s">
        <v>69</v>
      </c>
      <c r="F6" s="17" t="s">
        <v>420</v>
      </c>
      <c r="G6" s="18" t="s">
        <v>121</v>
      </c>
      <c r="H6" s="18" t="s">
        <v>20</v>
      </c>
      <c r="I6" s="19"/>
      <c r="J6" s="19"/>
      <c r="K6" s="17" t="str">
        <f>"210,0"</f>
        <v>210,0</v>
      </c>
      <c r="L6" s="18" t="str">
        <f>"124,3620"</f>
        <v>124,3620</v>
      </c>
      <c r="M6" s="17" t="s">
        <v>124</v>
      </c>
    </row>
    <row r="7" spans="1:13" ht="12.75">
      <c r="A7" s="20" t="s">
        <v>422</v>
      </c>
      <c r="B7" s="20" t="s">
        <v>423</v>
      </c>
      <c r="C7" s="20" t="s">
        <v>424</v>
      </c>
      <c r="D7" s="20" t="str">
        <f>"0,5939"</f>
        <v>0,5939</v>
      </c>
      <c r="E7" s="20" t="s">
        <v>69</v>
      </c>
      <c r="F7" s="20" t="s">
        <v>32</v>
      </c>
      <c r="G7" s="21" t="s">
        <v>365</v>
      </c>
      <c r="H7" s="21" t="s">
        <v>23</v>
      </c>
      <c r="I7" s="21" t="s">
        <v>120</v>
      </c>
      <c r="J7" s="22"/>
      <c r="K7" s="20" t="str">
        <f>"190,0"</f>
        <v>190,0</v>
      </c>
      <c r="L7" s="21" t="str">
        <f>"112,8410"</f>
        <v>112,8410</v>
      </c>
      <c r="M7" s="20" t="s">
        <v>208</v>
      </c>
    </row>
    <row r="8" spans="1:13" ht="12.75">
      <c r="A8" s="23" t="s">
        <v>426</v>
      </c>
      <c r="B8" s="23" t="s">
        <v>427</v>
      </c>
      <c r="C8" s="23" t="s">
        <v>428</v>
      </c>
      <c r="D8" s="23" t="str">
        <f>"0,5883"</f>
        <v>0,5883</v>
      </c>
      <c r="E8" s="23" t="s">
        <v>429</v>
      </c>
      <c r="F8" s="23" t="s">
        <v>430</v>
      </c>
      <c r="G8" s="24" t="s">
        <v>119</v>
      </c>
      <c r="H8" s="24" t="s">
        <v>120</v>
      </c>
      <c r="I8" s="24" t="s">
        <v>121</v>
      </c>
      <c r="J8" s="25"/>
      <c r="K8" s="23" t="str">
        <f>"200,0"</f>
        <v>200,0</v>
      </c>
      <c r="L8" s="24" t="str">
        <f>"123,3077"</f>
        <v>123,3077</v>
      </c>
      <c r="M8" s="23" t="s">
        <v>124</v>
      </c>
    </row>
    <row r="10" spans="1:12" ht="15">
      <c r="A10" s="48" t="s">
        <v>202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3" ht="12.75">
      <c r="A11" s="17" t="s">
        <v>432</v>
      </c>
      <c r="B11" s="17" t="s">
        <v>433</v>
      </c>
      <c r="C11" s="17" t="s">
        <v>434</v>
      </c>
      <c r="D11" s="17" t="str">
        <f>"0,5761"</f>
        <v>0,5761</v>
      </c>
      <c r="E11" s="17" t="s">
        <v>435</v>
      </c>
      <c r="F11" s="17" t="s">
        <v>436</v>
      </c>
      <c r="G11" s="19" t="s">
        <v>99</v>
      </c>
      <c r="H11" s="18" t="s">
        <v>162</v>
      </c>
      <c r="I11" s="18" t="s">
        <v>365</v>
      </c>
      <c r="J11" s="19"/>
      <c r="K11" s="17" t="str">
        <f>"175,0"</f>
        <v>175,0</v>
      </c>
      <c r="L11" s="18" t="str">
        <f>"100,8175"</f>
        <v>100,8175</v>
      </c>
      <c r="M11" s="17" t="s">
        <v>437</v>
      </c>
    </row>
    <row r="12" spans="1:13" ht="12.75">
      <c r="A12" s="23" t="s">
        <v>439</v>
      </c>
      <c r="B12" s="23" t="s">
        <v>440</v>
      </c>
      <c r="C12" s="23" t="s">
        <v>441</v>
      </c>
      <c r="D12" s="23" t="str">
        <f>"0,5623"</f>
        <v>0,5623</v>
      </c>
      <c r="E12" s="23" t="s">
        <v>179</v>
      </c>
      <c r="F12" s="23" t="s">
        <v>160</v>
      </c>
      <c r="G12" s="24" t="s">
        <v>161</v>
      </c>
      <c r="H12" s="24" t="s">
        <v>22</v>
      </c>
      <c r="I12" s="24" t="s">
        <v>365</v>
      </c>
      <c r="J12" s="25"/>
      <c r="K12" s="23" t="str">
        <f>"175,0"</f>
        <v>175,0</v>
      </c>
      <c r="L12" s="24" t="str">
        <f>"98,4025"</f>
        <v>98,4025</v>
      </c>
      <c r="M12" s="23" t="s">
        <v>124</v>
      </c>
    </row>
    <row r="14" spans="1:12" ht="15">
      <c r="A14" s="48" t="s">
        <v>13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13" ht="12.75">
      <c r="A15" s="6" t="s">
        <v>252</v>
      </c>
      <c r="B15" s="6" t="s">
        <v>259</v>
      </c>
      <c r="C15" s="6" t="s">
        <v>254</v>
      </c>
      <c r="D15" s="6" t="str">
        <f>"0,5365"</f>
        <v>0,5365</v>
      </c>
      <c r="E15" s="6" t="s">
        <v>179</v>
      </c>
      <c r="F15" s="6" t="s">
        <v>227</v>
      </c>
      <c r="G15" s="8" t="s">
        <v>22</v>
      </c>
      <c r="H15" s="8" t="s">
        <v>365</v>
      </c>
      <c r="I15" s="7" t="s">
        <v>119</v>
      </c>
      <c r="J15" s="7"/>
      <c r="K15" s="6" t="str">
        <f>"175,0"</f>
        <v>175,0</v>
      </c>
      <c r="L15" s="8" t="str">
        <f>"124,8704"</f>
        <v>124,8704</v>
      </c>
      <c r="M15" s="6" t="s">
        <v>124</v>
      </c>
    </row>
    <row r="17" spans="1:12" ht="15">
      <c r="A17" s="48" t="s">
        <v>155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3" ht="12.75">
      <c r="A18" s="6" t="s">
        <v>443</v>
      </c>
      <c r="B18" s="6" t="s">
        <v>444</v>
      </c>
      <c r="C18" s="6" t="s">
        <v>445</v>
      </c>
      <c r="D18" s="6" t="str">
        <f>"0,5361"</f>
        <v>0,5361</v>
      </c>
      <c r="E18" s="6" t="s">
        <v>69</v>
      </c>
      <c r="F18" s="6" t="s">
        <v>32</v>
      </c>
      <c r="G18" s="8" t="s">
        <v>22</v>
      </c>
      <c r="H18" s="8" t="s">
        <v>119</v>
      </c>
      <c r="I18" s="8" t="s">
        <v>23</v>
      </c>
      <c r="J18" s="7"/>
      <c r="K18" s="6" t="str">
        <f>"185,0"</f>
        <v>185,0</v>
      </c>
      <c r="L18" s="8" t="str">
        <f>"100,9637"</f>
        <v>100,9637</v>
      </c>
      <c r="M18" s="6" t="s">
        <v>208</v>
      </c>
    </row>
    <row r="20" spans="5:6" ht="15">
      <c r="E20" s="9" t="s">
        <v>40</v>
      </c>
      <c r="F20" s="45" t="s">
        <v>686</v>
      </c>
    </row>
    <row r="21" spans="5:6" ht="15">
      <c r="E21" s="9" t="s">
        <v>41</v>
      </c>
      <c r="F21" s="45" t="s">
        <v>687</v>
      </c>
    </row>
    <row r="22" spans="5:6" ht="15">
      <c r="E22" s="9" t="s">
        <v>42</v>
      </c>
      <c r="F22" s="45" t="s">
        <v>688</v>
      </c>
    </row>
    <row r="23" spans="5:6" ht="15">
      <c r="E23" s="9" t="s">
        <v>43</v>
      </c>
      <c r="F23" s="45" t="s">
        <v>689</v>
      </c>
    </row>
    <row r="24" spans="5:6" ht="15">
      <c r="E24" s="9" t="s">
        <v>43</v>
      </c>
      <c r="F24" s="45" t="s">
        <v>690</v>
      </c>
    </row>
    <row r="25" ht="15">
      <c r="E25" s="9"/>
    </row>
    <row r="26" ht="15">
      <c r="E26" s="9"/>
    </row>
    <row r="28" spans="1:2" ht="18">
      <c r="A28" s="10" t="s">
        <v>44</v>
      </c>
      <c r="B28" s="10"/>
    </row>
    <row r="29" spans="1:2" ht="15">
      <c r="A29" s="11" t="s">
        <v>45</v>
      </c>
      <c r="B29" s="11"/>
    </row>
    <row r="30" spans="1:2" ht="14.25">
      <c r="A30" s="13"/>
      <c r="B30" s="14" t="s">
        <v>46</v>
      </c>
    </row>
    <row r="31" spans="1:5" ht="15">
      <c r="A31" s="15" t="s">
        <v>47</v>
      </c>
      <c r="B31" s="15" t="s">
        <v>48</v>
      </c>
      <c r="C31" s="15" t="s">
        <v>49</v>
      </c>
      <c r="D31" s="15" t="s">
        <v>50</v>
      </c>
      <c r="E31" s="15" t="s">
        <v>51</v>
      </c>
    </row>
    <row r="32" spans="1:5" ht="12.75">
      <c r="A32" s="12" t="s">
        <v>416</v>
      </c>
      <c r="B32" s="4" t="s">
        <v>46</v>
      </c>
      <c r="C32" s="4" t="s">
        <v>241</v>
      </c>
      <c r="D32" s="4" t="s">
        <v>20</v>
      </c>
      <c r="E32" s="16" t="s">
        <v>446</v>
      </c>
    </row>
    <row r="33" spans="1:5" ht="12.75">
      <c r="A33" s="12" t="s">
        <v>421</v>
      </c>
      <c r="B33" s="4" t="s">
        <v>46</v>
      </c>
      <c r="C33" s="4" t="s">
        <v>241</v>
      </c>
      <c r="D33" s="4" t="s">
        <v>120</v>
      </c>
      <c r="E33" s="16" t="s">
        <v>447</v>
      </c>
    </row>
    <row r="34" spans="1:5" ht="12.75">
      <c r="A34" s="12" t="s">
        <v>431</v>
      </c>
      <c r="B34" s="4" t="s">
        <v>46</v>
      </c>
      <c r="C34" s="4" t="s">
        <v>233</v>
      </c>
      <c r="D34" s="4" t="s">
        <v>365</v>
      </c>
      <c r="E34" s="16" t="s">
        <v>448</v>
      </c>
    </row>
    <row r="35" spans="1:5" ht="12.75">
      <c r="A35" s="12" t="s">
        <v>438</v>
      </c>
      <c r="B35" s="4" t="s">
        <v>46</v>
      </c>
      <c r="C35" s="4" t="s">
        <v>233</v>
      </c>
      <c r="D35" s="4" t="s">
        <v>365</v>
      </c>
      <c r="E35" s="16" t="s">
        <v>449</v>
      </c>
    </row>
    <row r="37" spans="1:2" ht="14.25">
      <c r="A37" s="13"/>
      <c r="B37" s="14" t="s">
        <v>166</v>
      </c>
    </row>
    <row r="38" spans="1:5" ht="15">
      <c r="A38" s="15" t="s">
        <v>47</v>
      </c>
      <c r="B38" s="15" t="s">
        <v>48</v>
      </c>
      <c r="C38" s="15" t="s">
        <v>49</v>
      </c>
      <c r="D38" s="15" t="s">
        <v>50</v>
      </c>
      <c r="E38" s="15" t="s">
        <v>51</v>
      </c>
    </row>
    <row r="39" spans="1:5" ht="12.75">
      <c r="A39" s="12" t="s">
        <v>251</v>
      </c>
      <c r="B39" s="4" t="s">
        <v>238</v>
      </c>
      <c r="C39" s="4" t="s">
        <v>52</v>
      </c>
      <c r="D39" s="4" t="s">
        <v>365</v>
      </c>
      <c r="E39" s="16" t="s">
        <v>450</v>
      </c>
    </row>
    <row r="40" spans="1:5" ht="12.75">
      <c r="A40" s="12" t="s">
        <v>425</v>
      </c>
      <c r="B40" s="4" t="s">
        <v>240</v>
      </c>
      <c r="C40" s="4" t="s">
        <v>241</v>
      </c>
      <c r="D40" s="4" t="s">
        <v>121</v>
      </c>
      <c r="E40" s="16" t="s">
        <v>451</v>
      </c>
    </row>
    <row r="41" spans="1:5" ht="12.75">
      <c r="A41" s="12" t="s">
        <v>442</v>
      </c>
      <c r="B41" s="4" t="s">
        <v>167</v>
      </c>
      <c r="C41" s="4" t="s">
        <v>171</v>
      </c>
      <c r="D41" s="4" t="s">
        <v>23</v>
      </c>
      <c r="E41" s="16" t="s">
        <v>452</v>
      </c>
    </row>
    <row r="46" spans="1:2" ht="18">
      <c r="A46" s="10" t="s">
        <v>58</v>
      </c>
      <c r="B46" s="10"/>
    </row>
    <row r="47" spans="1:3" ht="15">
      <c r="A47" s="15" t="s">
        <v>59</v>
      </c>
      <c r="B47" s="15" t="s">
        <v>60</v>
      </c>
      <c r="C47" s="15" t="s">
        <v>61</v>
      </c>
    </row>
    <row r="48" spans="1:3" ht="12.75">
      <c r="A48" s="4" t="s">
        <v>69</v>
      </c>
      <c r="B48" s="4" t="s">
        <v>453</v>
      </c>
      <c r="C48" s="4" t="s">
        <v>454</v>
      </c>
    </row>
    <row r="49" spans="1:3" ht="12.75">
      <c r="A49" s="4" t="s">
        <v>179</v>
      </c>
      <c r="B49" s="4" t="s">
        <v>455</v>
      </c>
      <c r="C49" s="4" t="s">
        <v>456</v>
      </c>
    </row>
    <row r="50" spans="1:3" ht="12.75">
      <c r="A50" s="4" t="s">
        <v>429</v>
      </c>
      <c r="B50" s="4" t="s">
        <v>62</v>
      </c>
      <c r="C50" s="4" t="s">
        <v>457</v>
      </c>
    </row>
    <row r="51" spans="1:3" ht="12.75">
      <c r="A51" s="4" t="s">
        <v>435</v>
      </c>
      <c r="B51" s="4" t="s">
        <v>62</v>
      </c>
      <c r="C51" s="4" t="s">
        <v>458</v>
      </c>
    </row>
  </sheetData>
  <sheetProtection/>
  <mergeCells count="15">
    <mergeCell ref="A17:L17"/>
    <mergeCell ref="K3:K4"/>
    <mergeCell ref="L3:L4"/>
    <mergeCell ref="M3:M4"/>
    <mergeCell ref="A5:L5"/>
    <mergeCell ref="A10:L10"/>
    <mergeCell ref="A14:L14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9.00390625" style="4" bestFit="1" customWidth="1"/>
    <col min="14" max="16384" width="9.125" style="3" customWidth="1"/>
  </cols>
  <sheetData>
    <row r="1" spans="1:13" s="2" customFormat="1" ht="28.5" customHeight="1">
      <c r="A1" s="50" t="s">
        <v>672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6</v>
      </c>
      <c r="C3" s="58" t="s">
        <v>7</v>
      </c>
      <c r="D3" s="60" t="s">
        <v>9</v>
      </c>
      <c r="E3" s="60" t="s">
        <v>4</v>
      </c>
      <c r="F3" s="60" t="s">
        <v>8</v>
      </c>
      <c r="G3" s="60" t="s">
        <v>11</v>
      </c>
      <c r="H3" s="60"/>
      <c r="I3" s="60"/>
      <c r="J3" s="60"/>
      <c r="K3" s="60" t="s">
        <v>250</v>
      </c>
      <c r="L3" s="60" t="s">
        <v>3</v>
      </c>
      <c r="M3" s="61" t="s">
        <v>2</v>
      </c>
    </row>
    <row r="4" spans="1:13" s="1" customFormat="1" ht="21" customHeight="1" thickBot="1">
      <c r="A4" s="57"/>
      <c r="B4" s="59"/>
      <c r="C4" s="59"/>
      <c r="D4" s="59"/>
      <c r="E4" s="59"/>
      <c r="F4" s="59"/>
      <c r="G4" s="5">
        <v>1</v>
      </c>
      <c r="H4" s="5">
        <v>2</v>
      </c>
      <c r="I4" s="5">
        <v>3</v>
      </c>
      <c r="J4" s="5" t="s">
        <v>5</v>
      </c>
      <c r="K4" s="59"/>
      <c r="L4" s="59"/>
      <c r="M4" s="62"/>
    </row>
    <row r="5" spans="1:12" ht="15">
      <c r="A5" s="46" t="s">
        <v>274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6" t="s">
        <v>276</v>
      </c>
      <c r="B6" s="6" t="s">
        <v>277</v>
      </c>
      <c r="C6" s="6" t="s">
        <v>278</v>
      </c>
      <c r="D6" s="6" t="str">
        <f>"1,0379"</f>
        <v>1,0379</v>
      </c>
      <c r="E6" s="6" t="s">
        <v>31</v>
      </c>
      <c r="F6" s="6" t="s">
        <v>279</v>
      </c>
      <c r="G6" s="8" t="s">
        <v>280</v>
      </c>
      <c r="H6" s="8" t="s">
        <v>281</v>
      </c>
      <c r="I6" s="7" t="s">
        <v>282</v>
      </c>
      <c r="J6" s="7"/>
      <c r="K6" s="6" t="str">
        <f>"50,0"</f>
        <v>50,0</v>
      </c>
      <c r="L6" s="8" t="str">
        <f>"51,8950"</f>
        <v>51,8950</v>
      </c>
      <c r="M6" s="6" t="s">
        <v>283</v>
      </c>
    </row>
    <row r="8" spans="1:12" ht="15">
      <c r="A8" s="48" t="s">
        <v>64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3" ht="12.75">
      <c r="A9" s="17" t="s">
        <v>285</v>
      </c>
      <c r="B9" s="17" t="s">
        <v>286</v>
      </c>
      <c r="C9" s="17" t="s">
        <v>287</v>
      </c>
      <c r="D9" s="17" t="str">
        <f>"0,9625"</f>
        <v>0,9625</v>
      </c>
      <c r="E9" s="17" t="s">
        <v>31</v>
      </c>
      <c r="F9" s="17" t="s">
        <v>288</v>
      </c>
      <c r="G9" s="18" t="s">
        <v>289</v>
      </c>
      <c r="H9" s="18" t="s">
        <v>105</v>
      </c>
      <c r="I9" s="18" t="s">
        <v>290</v>
      </c>
      <c r="J9" s="19"/>
      <c r="K9" s="17" t="str">
        <f>"62,5"</f>
        <v>62,5</v>
      </c>
      <c r="L9" s="18" t="str">
        <f>"63,0437"</f>
        <v>63,0437</v>
      </c>
      <c r="M9" s="17" t="s">
        <v>291</v>
      </c>
    </row>
    <row r="10" spans="1:13" ht="12.75">
      <c r="A10" s="23" t="s">
        <v>293</v>
      </c>
      <c r="B10" s="23" t="s">
        <v>294</v>
      </c>
      <c r="C10" s="23" t="s">
        <v>295</v>
      </c>
      <c r="D10" s="23" t="str">
        <f>"0,9588"</f>
        <v>0,9588</v>
      </c>
      <c r="E10" s="23" t="s">
        <v>179</v>
      </c>
      <c r="F10" s="23" t="s">
        <v>271</v>
      </c>
      <c r="G10" s="24" t="s">
        <v>72</v>
      </c>
      <c r="H10" s="24" t="s">
        <v>73</v>
      </c>
      <c r="I10" s="25" t="s">
        <v>280</v>
      </c>
      <c r="J10" s="25"/>
      <c r="K10" s="23" t="str">
        <f>"40,0"</f>
        <v>40,0</v>
      </c>
      <c r="L10" s="24" t="str">
        <f>"40,1908"</f>
        <v>40,1908</v>
      </c>
      <c r="M10" s="23" t="s">
        <v>296</v>
      </c>
    </row>
    <row r="12" spans="1:12" ht="15">
      <c r="A12" s="48" t="s">
        <v>297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3" ht="12.75">
      <c r="A13" s="6" t="s">
        <v>299</v>
      </c>
      <c r="B13" s="6" t="s">
        <v>300</v>
      </c>
      <c r="C13" s="6" t="s">
        <v>301</v>
      </c>
      <c r="D13" s="6" t="str">
        <f>"0,9645"</f>
        <v>0,9645</v>
      </c>
      <c r="E13" s="6" t="s">
        <v>69</v>
      </c>
      <c r="F13" s="6" t="s">
        <v>32</v>
      </c>
      <c r="G13" s="8" t="s">
        <v>302</v>
      </c>
      <c r="H13" s="7" t="s">
        <v>72</v>
      </c>
      <c r="I13" s="7" t="s">
        <v>72</v>
      </c>
      <c r="J13" s="7"/>
      <c r="K13" s="6" t="str">
        <f>"30,0"</f>
        <v>30,0</v>
      </c>
      <c r="L13" s="8" t="str">
        <f>"30,0924"</f>
        <v>30,0924</v>
      </c>
      <c r="M13" s="6" t="s">
        <v>78</v>
      </c>
    </row>
    <row r="15" spans="1:12" ht="15">
      <c r="A15" s="48" t="s">
        <v>79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3" ht="12.75">
      <c r="A16" s="6" t="s">
        <v>304</v>
      </c>
      <c r="B16" s="6" t="s">
        <v>305</v>
      </c>
      <c r="C16" s="6" t="s">
        <v>306</v>
      </c>
      <c r="D16" s="6" t="str">
        <f>"0,8192"</f>
        <v>0,8192</v>
      </c>
      <c r="E16" s="6" t="s">
        <v>69</v>
      </c>
      <c r="F16" s="6" t="s">
        <v>32</v>
      </c>
      <c r="G16" s="8" t="s">
        <v>86</v>
      </c>
      <c r="H16" s="7" t="s">
        <v>77</v>
      </c>
      <c r="I16" s="7"/>
      <c r="J16" s="7"/>
      <c r="K16" s="6" t="str">
        <f>"90,0"</f>
        <v>90,0</v>
      </c>
      <c r="L16" s="8" t="str">
        <f>"73,7280"</f>
        <v>73,7280</v>
      </c>
      <c r="M16" s="6" t="s">
        <v>208</v>
      </c>
    </row>
    <row r="18" spans="1:12" ht="15">
      <c r="A18" s="48" t="s">
        <v>174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3" ht="12.75">
      <c r="A19" s="17" t="s">
        <v>176</v>
      </c>
      <c r="B19" s="17" t="s">
        <v>177</v>
      </c>
      <c r="C19" s="17" t="s">
        <v>178</v>
      </c>
      <c r="D19" s="17" t="str">
        <f>"0,7258"</f>
        <v>0,7258</v>
      </c>
      <c r="E19" s="17" t="s">
        <v>179</v>
      </c>
      <c r="F19" s="17" t="s">
        <v>160</v>
      </c>
      <c r="G19" s="18" t="s">
        <v>97</v>
      </c>
      <c r="H19" s="18" t="s">
        <v>90</v>
      </c>
      <c r="I19" s="19" t="s">
        <v>98</v>
      </c>
      <c r="J19" s="19"/>
      <c r="K19" s="17" t="str">
        <f>"145,0"</f>
        <v>145,0</v>
      </c>
      <c r="L19" s="18" t="str">
        <f>"105,2410"</f>
        <v>105,2410</v>
      </c>
      <c r="M19" s="17" t="s">
        <v>124</v>
      </c>
    </row>
    <row r="20" spans="1:13" ht="12.75">
      <c r="A20" s="23" t="s">
        <v>308</v>
      </c>
      <c r="B20" s="23" t="s">
        <v>309</v>
      </c>
      <c r="C20" s="23" t="s">
        <v>310</v>
      </c>
      <c r="D20" s="23" t="str">
        <f>"0,7312"</f>
        <v>0,7312</v>
      </c>
      <c r="E20" s="23" t="s">
        <v>84</v>
      </c>
      <c r="F20" s="23" t="s">
        <v>85</v>
      </c>
      <c r="G20" s="25" t="s">
        <v>75</v>
      </c>
      <c r="H20" s="25" t="s">
        <v>75</v>
      </c>
      <c r="I20" s="25" t="s">
        <v>311</v>
      </c>
      <c r="J20" s="25"/>
      <c r="K20" s="23" t="str">
        <f>"0.00"</f>
        <v>0.00</v>
      </c>
      <c r="L20" s="24" t="str">
        <f>"0,0000"</f>
        <v>0,0000</v>
      </c>
      <c r="M20" s="23" t="s">
        <v>91</v>
      </c>
    </row>
    <row r="22" spans="1:12" ht="15">
      <c r="A22" s="48" t="s">
        <v>147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3" ht="12.75">
      <c r="A23" s="17" t="s">
        <v>181</v>
      </c>
      <c r="B23" s="17" t="s">
        <v>182</v>
      </c>
      <c r="C23" s="17" t="s">
        <v>183</v>
      </c>
      <c r="D23" s="17" t="str">
        <f>"0,6774"</f>
        <v>0,6774</v>
      </c>
      <c r="E23" s="17" t="s">
        <v>179</v>
      </c>
      <c r="F23" s="17" t="s">
        <v>184</v>
      </c>
      <c r="G23" s="18" t="s">
        <v>97</v>
      </c>
      <c r="H23" s="18" t="s">
        <v>90</v>
      </c>
      <c r="I23" s="19" t="s">
        <v>98</v>
      </c>
      <c r="J23" s="19"/>
      <c r="K23" s="17" t="str">
        <f>"145,0"</f>
        <v>145,0</v>
      </c>
      <c r="L23" s="18" t="str">
        <f>"98,2230"</f>
        <v>98,2230</v>
      </c>
      <c r="M23" s="17" t="s">
        <v>124</v>
      </c>
    </row>
    <row r="24" spans="1:13" ht="12.75">
      <c r="A24" s="23" t="s">
        <v>187</v>
      </c>
      <c r="B24" s="23" t="s">
        <v>188</v>
      </c>
      <c r="C24" s="23" t="s">
        <v>189</v>
      </c>
      <c r="D24" s="23" t="str">
        <f>"0,6993"</f>
        <v>0,6993</v>
      </c>
      <c r="E24" s="23" t="s">
        <v>179</v>
      </c>
      <c r="F24" s="23" t="s">
        <v>19</v>
      </c>
      <c r="G24" s="25" t="s">
        <v>36</v>
      </c>
      <c r="H24" s="24" t="s">
        <v>36</v>
      </c>
      <c r="I24" s="25" t="s">
        <v>89</v>
      </c>
      <c r="J24" s="25"/>
      <c r="K24" s="23" t="str">
        <f>"120,0"</f>
        <v>120,0</v>
      </c>
      <c r="L24" s="24" t="str">
        <f>"83,9160"</f>
        <v>83,9160</v>
      </c>
      <c r="M24" s="23" t="s">
        <v>190</v>
      </c>
    </row>
    <row r="26" spans="1:12" ht="15">
      <c r="A26" s="48" t="s">
        <v>92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3" ht="12.75">
      <c r="A27" s="17" t="s">
        <v>312</v>
      </c>
      <c r="B27" s="17" t="s">
        <v>313</v>
      </c>
      <c r="C27" s="17" t="s">
        <v>314</v>
      </c>
      <c r="D27" s="17" t="str">
        <f>"0,6358"</f>
        <v>0,6358</v>
      </c>
      <c r="E27" s="17" t="s">
        <v>31</v>
      </c>
      <c r="F27" s="17" t="s">
        <v>160</v>
      </c>
      <c r="G27" s="19" t="s">
        <v>36</v>
      </c>
      <c r="H27" s="19" t="s">
        <v>37</v>
      </c>
      <c r="I27" s="19" t="s">
        <v>37</v>
      </c>
      <c r="J27" s="19"/>
      <c r="K27" s="17" t="str">
        <f>"0.00"</f>
        <v>0.00</v>
      </c>
      <c r="L27" s="18" t="str">
        <f>"0,0000"</f>
        <v>0,0000</v>
      </c>
      <c r="M27" s="17" t="s">
        <v>124</v>
      </c>
    </row>
    <row r="28" spans="1:13" ht="12.75">
      <c r="A28" s="23" t="s">
        <v>316</v>
      </c>
      <c r="B28" s="23" t="s">
        <v>317</v>
      </c>
      <c r="C28" s="23" t="s">
        <v>318</v>
      </c>
      <c r="D28" s="23" t="str">
        <f>"0,6388"</f>
        <v>0,6388</v>
      </c>
      <c r="E28" s="23" t="s">
        <v>69</v>
      </c>
      <c r="F28" s="23" t="s">
        <v>32</v>
      </c>
      <c r="G28" s="24" t="s">
        <v>37</v>
      </c>
      <c r="H28" s="24" t="s">
        <v>97</v>
      </c>
      <c r="I28" s="25" t="s">
        <v>90</v>
      </c>
      <c r="J28" s="25"/>
      <c r="K28" s="23" t="str">
        <f>"140,0"</f>
        <v>140,0</v>
      </c>
      <c r="L28" s="24" t="str">
        <f>"123,4162"</f>
        <v>123,4162</v>
      </c>
      <c r="M28" s="23" t="s">
        <v>124</v>
      </c>
    </row>
    <row r="30" spans="1:12" ht="15">
      <c r="A30" s="48" t="s">
        <v>196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3" ht="12.75">
      <c r="A31" s="17" t="s">
        <v>320</v>
      </c>
      <c r="B31" s="17" t="s">
        <v>321</v>
      </c>
      <c r="C31" s="17" t="s">
        <v>322</v>
      </c>
      <c r="D31" s="17" t="str">
        <f>"0,5903"</f>
        <v>0,5903</v>
      </c>
      <c r="E31" s="17" t="s">
        <v>179</v>
      </c>
      <c r="F31" s="17" t="s">
        <v>323</v>
      </c>
      <c r="G31" s="18" t="s">
        <v>119</v>
      </c>
      <c r="H31" s="18" t="s">
        <v>120</v>
      </c>
      <c r="I31" s="18" t="s">
        <v>324</v>
      </c>
      <c r="J31" s="19"/>
      <c r="K31" s="17" t="str">
        <f>"195,0"</f>
        <v>195,0</v>
      </c>
      <c r="L31" s="18" t="str">
        <f>"115,1085"</f>
        <v>115,1085</v>
      </c>
      <c r="M31" s="17" t="s">
        <v>325</v>
      </c>
    </row>
    <row r="32" spans="1:13" ht="12.75">
      <c r="A32" s="20" t="s">
        <v>327</v>
      </c>
      <c r="B32" s="20" t="s">
        <v>328</v>
      </c>
      <c r="C32" s="20" t="s">
        <v>329</v>
      </c>
      <c r="D32" s="20" t="str">
        <f>"0,5980"</f>
        <v>0,5980</v>
      </c>
      <c r="E32" s="20" t="s">
        <v>69</v>
      </c>
      <c r="F32" s="20" t="s">
        <v>32</v>
      </c>
      <c r="G32" s="21" t="s">
        <v>98</v>
      </c>
      <c r="H32" s="22" t="s">
        <v>161</v>
      </c>
      <c r="I32" s="21" t="s">
        <v>161</v>
      </c>
      <c r="J32" s="22"/>
      <c r="K32" s="20" t="str">
        <f>"160,0"</f>
        <v>160,0</v>
      </c>
      <c r="L32" s="21" t="str">
        <f>"95,6800"</f>
        <v>95,6800</v>
      </c>
      <c r="M32" s="20" t="s">
        <v>208</v>
      </c>
    </row>
    <row r="33" spans="1:13" ht="12.75">
      <c r="A33" s="20" t="s">
        <v>330</v>
      </c>
      <c r="B33" s="20" t="s">
        <v>331</v>
      </c>
      <c r="C33" s="20" t="s">
        <v>329</v>
      </c>
      <c r="D33" s="20" t="str">
        <f>"0,5980"</f>
        <v>0,5980</v>
      </c>
      <c r="E33" s="20" t="s">
        <v>69</v>
      </c>
      <c r="F33" s="20" t="s">
        <v>32</v>
      </c>
      <c r="G33" s="21" t="s">
        <v>98</v>
      </c>
      <c r="H33" s="22" t="s">
        <v>161</v>
      </c>
      <c r="I33" s="21" t="s">
        <v>161</v>
      </c>
      <c r="J33" s="22"/>
      <c r="K33" s="20" t="str">
        <f>"160,0"</f>
        <v>160,0</v>
      </c>
      <c r="L33" s="21" t="str">
        <f>"100,2726"</f>
        <v>100,2726</v>
      </c>
      <c r="M33" s="20" t="s">
        <v>208</v>
      </c>
    </row>
    <row r="34" spans="1:13" ht="12.75">
      <c r="A34" s="23" t="s">
        <v>332</v>
      </c>
      <c r="B34" s="23" t="s">
        <v>199</v>
      </c>
      <c r="C34" s="23" t="s">
        <v>200</v>
      </c>
      <c r="D34" s="23" t="str">
        <f>"0,5873"</f>
        <v>0,5873</v>
      </c>
      <c r="E34" s="23" t="s">
        <v>84</v>
      </c>
      <c r="F34" s="23" t="s">
        <v>85</v>
      </c>
      <c r="G34" s="24" t="s">
        <v>97</v>
      </c>
      <c r="H34" s="24" t="s">
        <v>98</v>
      </c>
      <c r="I34" s="25"/>
      <c r="J34" s="25"/>
      <c r="K34" s="23" t="str">
        <f>"150,0"</f>
        <v>150,0</v>
      </c>
      <c r="L34" s="24" t="str">
        <f>"96,1997"</f>
        <v>96,1997</v>
      </c>
      <c r="M34" s="23" t="s">
        <v>91</v>
      </c>
    </row>
    <row r="36" spans="1:12" ht="15">
      <c r="A36" s="48" t="s">
        <v>202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1:13" ht="12.75">
      <c r="A37" s="17" t="s">
        <v>334</v>
      </c>
      <c r="B37" s="17" t="s">
        <v>335</v>
      </c>
      <c r="C37" s="17" t="s">
        <v>336</v>
      </c>
      <c r="D37" s="17" t="str">
        <f>"0,5654"</f>
        <v>0,5654</v>
      </c>
      <c r="E37" s="17" t="s">
        <v>31</v>
      </c>
      <c r="F37" s="17" t="s">
        <v>160</v>
      </c>
      <c r="G37" s="18" t="s">
        <v>90</v>
      </c>
      <c r="H37" s="18" t="s">
        <v>207</v>
      </c>
      <c r="I37" s="18" t="s">
        <v>337</v>
      </c>
      <c r="J37" s="19"/>
      <c r="K37" s="17" t="str">
        <f>"162,5"</f>
        <v>162,5</v>
      </c>
      <c r="L37" s="18" t="str">
        <f>"94,6338"</f>
        <v>94,6338</v>
      </c>
      <c r="M37" s="17" t="s">
        <v>124</v>
      </c>
    </row>
    <row r="38" spans="1:13" ht="12.75">
      <c r="A38" s="20" t="s">
        <v>339</v>
      </c>
      <c r="B38" s="20" t="s">
        <v>340</v>
      </c>
      <c r="C38" s="20" t="s">
        <v>341</v>
      </c>
      <c r="D38" s="20" t="str">
        <f>"0,5550"</f>
        <v>0,5550</v>
      </c>
      <c r="E38" s="20" t="s">
        <v>84</v>
      </c>
      <c r="F38" s="20" t="s">
        <v>85</v>
      </c>
      <c r="G38" s="21" t="s">
        <v>337</v>
      </c>
      <c r="H38" s="21" t="s">
        <v>22</v>
      </c>
      <c r="I38" s="22"/>
      <c r="J38" s="22"/>
      <c r="K38" s="20" t="str">
        <f>"170,0"</f>
        <v>170,0</v>
      </c>
      <c r="L38" s="21" t="str">
        <f>"94,3500"</f>
        <v>94,3500</v>
      </c>
      <c r="M38" s="20" t="s">
        <v>91</v>
      </c>
    </row>
    <row r="39" spans="1:13" ht="12.75">
      <c r="A39" s="20" t="s">
        <v>343</v>
      </c>
      <c r="B39" s="20" t="s">
        <v>344</v>
      </c>
      <c r="C39" s="20" t="s">
        <v>345</v>
      </c>
      <c r="D39" s="20" t="str">
        <f>"0,5745"</f>
        <v>0,5745</v>
      </c>
      <c r="E39" s="20" t="s">
        <v>69</v>
      </c>
      <c r="F39" s="20" t="s">
        <v>32</v>
      </c>
      <c r="G39" s="21" t="s">
        <v>337</v>
      </c>
      <c r="H39" s="22" t="s">
        <v>162</v>
      </c>
      <c r="I39" s="21" t="s">
        <v>162</v>
      </c>
      <c r="J39" s="22"/>
      <c r="K39" s="20" t="str">
        <f>"167,5"</f>
        <v>167,5</v>
      </c>
      <c r="L39" s="21" t="str">
        <f>"96,2371"</f>
        <v>96,2371</v>
      </c>
      <c r="M39" s="20" t="s">
        <v>208</v>
      </c>
    </row>
    <row r="40" spans="1:13" ht="12.75">
      <c r="A40" s="20" t="s">
        <v>347</v>
      </c>
      <c r="B40" s="20" t="s">
        <v>348</v>
      </c>
      <c r="C40" s="20" t="s">
        <v>349</v>
      </c>
      <c r="D40" s="20" t="str">
        <f>"0,5604"</f>
        <v>0,5604</v>
      </c>
      <c r="E40" s="20" t="s">
        <v>69</v>
      </c>
      <c r="F40" s="20" t="s">
        <v>32</v>
      </c>
      <c r="G40" s="21" t="s">
        <v>207</v>
      </c>
      <c r="H40" s="21" t="s">
        <v>337</v>
      </c>
      <c r="I40" s="21" t="s">
        <v>162</v>
      </c>
      <c r="J40" s="22"/>
      <c r="K40" s="20" t="str">
        <f>"167,5"</f>
        <v>167,5</v>
      </c>
      <c r="L40" s="21" t="str">
        <f>"93,8586"</f>
        <v>93,8586</v>
      </c>
      <c r="M40" s="20" t="s">
        <v>208</v>
      </c>
    </row>
    <row r="41" spans="1:13" ht="12.75">
      <c r="A41" s="20" t="s">
        <v>351</v>
      </c>
      <c r="B41" s="20" t="s">
        <v>352</v>
      </c>
      <c r="C41" s="20" t="s">
        <v>353</v>
      </c>
      <c r="D41" s="20" t="str">
        <f>"0,5821"</f>
        <v>0,5821</v>
      </c>
      <c r="E41" s="20" t="s">
        <v>69</v>
      </c>
      <c r="F41" s="20" t="s">
        <v>32</v>
      </c>
      <c r="G41" s="22" t="s">
        <v>37</v>
      </c>
      <c r="H41" s="21" t="s">
        <v>37</v>
      </c>
      <c r="I41" s="22"/>
      <c r="J41" s="22"/>
      <c r="K41" s="20" t="str">
        <f>"130,0"</f>
        <v>130,0</v>
      </c>
      <c r="L41" s="21" t="str">
        <f>"75,6730"</f>
        <v>75,6730</v>
      </c>
      <c r="M41" s="20" t="s">
        <v>208</v>
      </c>
    </row>
    <row r="42" spans="1:13" ht="12.75">
      <c r="A42" s="23" t="s">
        <v>210</v>
      </c>
      <c r="B42" s="23" t="s">
        <v>211</v>
      </c>
      <c r="C42" s="23" t="s">
        <v>212</v>
      </c>
      <c r="D42" s="23" t="str">
        <f>"0,5548"</f>
        <v>0,5548</v>
      </c>
      <c r="E42" s="23" t="s">
        <v>84</v>
      </c>
      <c r="F42" s="23" t="s">
        <v>85</v>
      </c>
      <c r="G42" s="24" t="s">
        <v>97</v>
      </c>
      <c r="H42" s="24" t="s">
        <v>98</v>
      </c>
      <c r="I42" s="25"/>
      <c r="J42" s="25"/>
      <c r="K42" s="23" t="str">
        <f>"150,0"</f>
        <v>150,0</v>
      </c>
      <c r="L42" s="24" t="str">
        <f>"110,6826"</f>
        <v>110,6826</v>
      </c>
      <c r="M42" s="23" t="s">
        <v>124</v>
      </c>
    </row>
    <row r="44" spans="1:12" ht="15">
      <c r="A44" s="48" t="s">
        <v>13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5" spans="1:13" ht="12.75">
      <c r="A45" s="17" t="s">
        <v>355</v>
      </c>
      <c r="B45" s="17" t="s">
        <v>356</v>
      </c>
      <c r="C45" s="17" t="s">
        <v>357</v>
      </c>
      <c r="D45" s="17" t="str">
        <f>"0,5529"</f>
        <v>0,5529</v>
      </c>
      <c r="E45" s="17" t="s">
        <v>69</v>
      </c>
      <c r="F45" s="17" t="s">
        <v>32</v>
      </c>
      <c r="G45" s="18" t="s">
        <v>324</v>
      </c>
      <c r="H45" s="18" t="s">
        <v>121</v>
      </c>
      <c r="I45" s="18" t="s">
        <v>358</v>
      </c>
      <c r="J45" s="19"/>
      <c r="K45" s="17" t="str">
        <f>"205,0"</f>
        <v>205,0</v>
      </c>
      <c r="L45" s="18" t="str">
        <f>"113,3445"</f>
        <v>113,3445</v>
      </c>
      <c r="M45" s="17" t="s">
        <v>208</v>
      </c>
    </row>
    <row r="46" spans="1:13" ht="12.75">
      <c r="A46" s="20" t="s">
        <v>359</v>
      </c>
      <c r="B46" s="20" t="s">
        <v>216</v>
      </c>
      <c r="C46" s="20" t="s">
        <v>217</v>
      </c>
      <c r="D46" s="20" t="str">
        <f>"0,5414"</f>
        <v>0,5414</v>
      </c>
      <c r="E46" s="20" t="s">
        <v>218</v>
      </c>
      <c r="F46" s="20" t="s">
        <v>160</v>
      </c>
      <c r="G46" s="22" t="s">
        <v>119</v>
      </c>
      <c r="H46" s="21" t="s">
        <v>119</v>
      </c>
      <c r="I46" s="21" t="s">
        <v>324</v>
      </c>
      <c r="J46" s="22"/>
      <c r="K46" s="20" t="str">
        <f>"195,0"</f>
        <v>195,0</v>
      </c>
      <c r="L46" s="21" t="str">
        <f>"105,5730"</f>
        <v>105,5730</v>
      </c>
      <c r="M46" s="20" t="s">
        <v>124</v>
      </c>
    </row>
    <row r="47" spans="1:13" ht="12.75">
      <c r="A47" s="20" t="s">
        <v>361</v>
      </c>
      <c r="B47" s="20" t="s">
        <v>362</v>
      </c>
      <c r="C47" s="20" t="s">
        <v>363</v>
      </c>
      <c r="D47" s="20" t="str">
        <f>"0,5393"</f>
        <v>0,5393</v>
      </c>
      <c r="E47" s="20" t="s">
        <v>69</v>
      </c>
      <c r="F47" s="20" t="s">
        <v>32</v>
      </c>
      <c r="G47" s="21" t="s">
        <v>22</v>
      </c>
      <c r="H47" s="21" t="s">
        <v>119</v>
      </c>
      <c r="I47" s="22" t="s">
        <v>23</v>
      </c>
      <c r="J47" s="22"/>
      <c r="K47" s="20" t="str">
        <f>"180,0"</f>
        <v>180,0</v>
      </c>
      <c r="L47" s="21" t="str">
        <f>"97,0740"</f>
        <v>97,0740</v>
      </c>
      <c r="M47" s="20" t="s">
        <v>124</v>
      </c>
    </row>
    <row r="48" spans="1:13" ht="12.75">
      <c r="A48" s="20" t="s">
        <v>364</v>
      </c>
      <c r="B48" s="20" t="s">
        <v>221</v>
      </c>
      <c r="C48" s="20" t="s">
        <v>222</v>
      </c>
      <c r="D48" s="20" t="str">
        <f>"0,5421"</f>
        <v>0,5421</v>
      </c>
      <c r="E48" s="20" t="s">
        <v>69</v>
      </c>
      <c r="F48" s="20" t="s">
        <v>32</v>
      </c>
      <c r="G48" s="21" t="s">
        <v>22</v>
      </c>
      <c r="H48" s="22" t="s">
        <v>365</v>
      </c>
      <c r="I48" s="22" t="s">
        <v>365</v>
      </c>
      <c r="J48" s="22"/>
      <c r="K48" s="20" t="str">
        <f>"170,0"</f>
        <v>170,0</v>
      </c>
      <c r="L48" s="21" t="str">
        <f>"92,1570"</f>
        <v>92,1570</v>
      </c>
      <c r="M48" s="20" t="s">
        <v>208</v>
      </c>
    </row>
    <row r="49" spans="1:13" ht="12.75">
      <c r="A49" s="23" t="s">
        <v>367</v>
      </c>
      <c r="B49" s="23" t="s">
        <v>368</v>
      </c>
      <c r="C49" s="23" t="s">
        <v>369</v>
      </c>
      <c r="D49" s="23" t="str">
        <f>"0,5504"</f>
        <v>0,5504</v>
      </c>
      <c r="E49" s="23" t="s">
        <v>69</v>
      </c>
      <c r="F49" s="23" t="s">
        <v>32</v>
      </c>
      <c r="G49" s="24" t="s">
        <v>98</v>
      </c>
      <c r="H49" s="24" t="s">
        <v>161</v>
      </c>
      <c r="I49" s="25" t="s">
        <v>22</v>
      </c>
      <c r="J49" s="25"/>
      <c r="K49" s="23" t="str">
        <f>"160,0"</f>
        <v>160,0</v>
      </c>
      <c r="L49" s="24" t="str">
        <f>"88,0640"</f>
        <v>88,0640</v>
      </c>
      <c r="M49" s="23" t="s">
        <v>208</v>
      </c>
    </row>
    <row r="51" spans="1:12" ht="15">
      <c r="A51" s="48" t="s">
        <v>155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1:13" ht="12.75">
      <c r="A52" s="17" t="s">
        <v>224</v>
      </c>
      <c r="B52" s="17" t="s">
        <v>225</v>
      </c>
      <c r="C52" s="17" t="s">
        <v>226</v>
      </c>
      <c r="D52" s="17" t="str">
        <f>"0,5302"</f>
        <v>0,5302</v>
      </c>
      <c r="E52" s="17" t="s">
        <v>179</v>
      </c>
      <c r="F52" s="17" t="s">
        <v>227</v>
      </c>
      <c r="G52" s="18" t="s">
        <v>119</v>
      </c>
      <c r="H52" s="18" t="s">
        <v>120</v>
      </c>
      <c r="I52" s="18" t="s">
        <v>121</v>
      </c>
      <c r="J52" s="19"/>
      <c r="K52" s="17" t="str">
        <f>"200,0"</f>
        <v>200,0</v>
      </c>
      <c r="L52" s="18" t="str">
        <f>"106,0400"</f>
        <v>106,0400</v>
      </c>
      <c r="M52" s="17" t="s">
        <v>124</v>
      </c>
    </row>
    <row r="53" spans="1:13" ht="12.75">
      <c r="A53" s="20" t="s">
        <v>371</v>
      </c>
      <c r="B53" s="20" t="s">
        <v>372</v>
      </c>
      <c r="C53" s="20" t="s">
        <v>373</v>
      </c>
      <c r="D53" s="20" t="str">
        <f>"0,5267"</f>
        <v>0,5267</v>
      </c>
      <c r="E53" s="20" t="s">
        <v>179</v>
      </c>
      <c r="F53" s="20" t="s">
        <v>227</v>
      </c>
      <c r="G53" s="21" t="s">
        <v>22</v>
      </c>
      <c r="H53" s="21" t="s">
        <v>119</v>
      </c>
      <c r="I53" s="22" t="s">
        <v>23</v>
      </c>
      <c r="J53" s="22"/>
      <c r="K53" s="20" t="str">
        <f>"180,0"</f>
        <v>180,0</v>
      </c>
      <c r="L53" s="21" t="str">
        <f>"94,8060"</f>
        <v>94,8060</v>
      </c>
      <c r="M53" s="20" t="s">
        <v>374</v>
      </c>
    </row>
    <row r="54" spans="1:13" ht="12.75">
      <c r="A54" s="20" t="s">
        <v>376</v>
      </c>
      <c r="B54" s="20" t="s">
        <v>377</v>
      </c>
      <c r="C54" s="20" t="s">
        <v>378</v>
      </c>
      <c r="D54" s="20" t="str">
        <f>"0,5249"</f>
        <v>0,5249</v>
      </c>
      <c r="E54" s="20" t="s">
        <v>69</v>
      </c>
      <c r="F54" s="20" t="s">
        <v>32</v>
      </c>
      <c r="G54" s="21" t="s">
        <v>161</v>
      </c>
      <c r="H54" s="21" t="s">
        <v>365</v>
      </c>
      <c r="I54" s="22" t="s">
        <v>379</v>
      </c>
      <c r="J54" s="22"/>
      <c r="K54" s="20" t="str">
        <f>"175,0"</f>
        <v>175,0</v>
      </c>
      <c r="L54" s="21" t="str">
        <f>"91,8575"</f>
        <v>91,8575</v>
      </c>
      <c r="M54" s="20" t="s">
        <v>208</v>
      </c>
    </row>
    <row r="55" spans="1:13" ht="12.75">
      <c r="A55" s="23" t="s">
        <v>381</v>
      </c>
      <c r="B55" s="23" t="s">
        <v>382</v>
      </c>
      <c r="C55" s="23" t="s">
        <v>383</v>
      </c>
      <c r="D55" s="23" t="str">
        <f>"0,5283"</f>
        <v>0,5283</v>
      </c>
      <c r="E55" s="23" t="s">
        <v>31</v>
      </c>
      <c r="F55" s="23" t="s">
        <v>160</v>
      </c>
      <c r="G55" s="24" t="s">
        <v>98</v>
      </c>
      <c r="H55" s="25" t="s">
        <v>207</v>
      </c>
      <c r="I55" s="24" t="s">
        <v>207</v>
      </c>
      <c r="J55" s="25"/>
      <c r="K55" s="23" t="str">
        <f>"155,0"</f>
        <v>155,0</v>
      </c>
      <c r="L55" s="24" t="str">
        <f>"81,8865"</f>
        <v>81,8865</v>
      </c>
      <c r="M55" s="23" t="s">
        <v>124</v>
      </c>
    </row>
    <row r="57" spans="5:6" ht="15">
      <c r="E57" s="9" t="s">
        <v>40</v>
      </c>
      <c r="F57" s="45" t="s">
        <v>686</v>
      </c>
    </row>
    <row r="58" spans="5:6" ht="15">
      <c r="E58" s="9" t="s">
        <v>41</v>
      </c>
      <c r="F58" s="45" t="s">
        <v>687</v>
      </c>
    </row>
    <row r="59" spans="5:6" ht="15">
      <c r="E59" s="9" t="s">
        <v>42</v>
      </c>
      <c r="F59" s="45" t="s">
        <v>688</v>
      </c>
    </row>
    <row r="60" spans="5:6" ht="15">
      <c r="E60" s="9" t="s">
        <v>43</v>
      </c>
      <c r="F60" s="45" t="s">
        <v>689</v>
      </c>
    </row>
    <row r="61" spans="5:6" ht="15">
      <c r="E61" s="9" t="s">
        <v>43</v>
      </c>
      <c r="F61" s="45" t="s">
        <v>690</v>
      </c>
    </row>
    <row r="62" ht="15">
      <c r="E62" s="9"/>
    </row>
    <row r="63" ht="15">
      <c r="E63" s="9"/>
    </row>
    <row r="65" spans="1:2" ht="18">
      <c r="A65" s="10" t="s">
        <v>44</v>
      </c>
      <c r="B65" s="10"/>
    </row>
    <row r="66" spans="1:2" ht="15">
      <c r="A66" s="11" t="s">
        <v>125</v>
      </c>
      <c r="B66" s="11"/>
    </row>
    <row r="67" spans="1:2" ht="14.25">
      <c r="A67" s="13"/>
      <c r="B67" s="14" t="s">
        <v>46</v>
      </c>
    </row>
    <row r="68" spans="1:5" ht="15">
      <c r="A68" s="15" t="s">
        <v>47</v>
      </c>
      <c r="B68" s="15" t="s">
        <v>48</v>
      </c>
      <c r="C68" s="15" t="s">
        <v>49</v>
      </c>
      <c r="D68" s="15" t="s">
        <v>50</v>
      </c>
      <c r="E68" s="15" t="s">
        <v>51</v>
      </c>
    </row>
    <row r="69" spans="1:5" ht="12.75">
      <c r="A69" s="12" t="s">
        <v>275</v>
      </c>
      <c r="B69" s="4" t="s">
        <v>46</v>
      </c>
      <c r="C69" s="4" t="s">
        <v>384</v>
      </c>
      <c r="D69" s="4" t="s">
        <v>281</v>
      </c>
      <c r="E69" s="16" t="s">
        <v>385</v>
      </c>
    </row>
    <row r="71" spans="1:2" ht="14.25">
      <c r="A71" s="13"/>
      <c r="B71" s="14" t="s">
        <v>166</v>
      </c>
    </row>
    <row r="72" spans="1:5" ht="15">
      <c r="A72" s="15" t="s">
        <v>47</v>
      </c>
      <c r="B72" s="15" t="s">
        <v>48</v>
      </c>
      <c r="C72" s="15" t="s">
        <v>49</v>
      </c>
      <c r="D72" s="15" t="s">
        <v>50</v>
      </c>
      <c r="E72" s="15" t="s">
        <v>51</v>
      </c>
    </row>
    <row r="73" spans="1:5" ht="12.75">
      <c r="A73" s="12" t="s">
        <v>284</v>
      </c>
      <c r="B73" s="4" t="s">
        <v>240</v>
      </c>
      <c r="C73" s="4" t="s">
        <v>126</v>
      </c>
      <c r="D73" s="4" t="s">
        <v>290</v>
      </c>
      <c r="E73" s="16" t="s">
        <v>386</v>
      </c>
    </row>
    <row r="74" spans="1:5" ht="12.75">
      <c r="A74" s="12" t="s">
        <v>292</v>
      </c>
      <c r="B74" s="4" t="s">
        <v>240</v>
      </c>
      <c r="C74" s="4" t="s">
        <v>126</v>
      </c>
      <c r="D74" s="4" t="s">
        <v>73</v>
      </c>
      <c r="E74" s="16" t="s">
        <v>387</v>
      </c>
    </row>
    <row r="77" spans="1:2" ht="15">
      <c r="A77" s="11" t="s">
        <v>45</v>
      </c>
      <c r="B77" s="11"/>
    </row>
    <row r="78" spans="1:2" ht="14.25">
      <c r="A78" s="13"/>
      <c r="B78" s="14" t="s">
        <v>128</v>
      </c>
    </row>
    <row r="79" spans="1:5" ht="15">
      <c r="A79" s="15" t="s">
        <v>47</v>
      </c>
      <c r="B79" s="15" t="s">
        <v>48</v>
      </c>
      <c r="C79" s="15" t="s">
        <v>49</v>
      </c>
      <c r="D79" s="15" t="s">
        <v>50</v>
      </c>
      <c r="E79" s="15" t="s">
        <v>51</v>
      </c>
    </row>
    <row r="80" spans="1:5" ht="12.75">
      <c r="A80" s="12" t="s">
        <v>298</v>
      </c>
      <c r="B80" s="4" t="s">
        <v>388</v>
      </c>
      <c r="C80" s="4" t="s">
        <v>389</v>
      </c>
      <c r="D80" s="4" t="s">
        <v>302</v>
      </c>
      <c r="E80" s="16" t="s">
        <v>390</v>
      </c>
    </row>
    <row r="82" spans="1:2" ht="14.25">
      <c r="A82" s="13"/>
      <c r="B82" s="14" t="s">
        <v>391</v>
      </c>
    </row>
    <row r="83" spans="1:5" ht="15">
      <c r="A83" s="15" t="s">
        <v>47</v>
      </c>
      <c r="B83" s="15" t="s">
        <v>48</v>
      </c>
      <c r="C83" s="15" t="s">
        <v>49</v>
      </c>
      <c r="D83" s="15" t="s">
        <v>50</v>
      </c>
      <c r="E83" s="15" t="s">
        <v>51</v>
      </c>
    </row>
    <row r="84" spans="1:5" ht="12.75">
      <c r="A84" s="12" t="s">
        <v>333</v>
      </c>
      <c r="B84" s="4" t="s">
        <v>392</v>
      </c>
      <c r="C84" s="4" t="s">
        <v>233</v>
      </c>
      <c r="D84" s="4" t="s">
        <v>337</v>
      </c>
      <c r="E84" s="16" t="s">
        <v>393</v>
      </c>
    </row>
    <row r="86" spans="1:2" ht="14.25">
      <c r="A86" s="13"/>
      <c r="B86" s="14" t="s">
        <v>46</v>
      </c>
    </row>
    <row r="87" spans="1:5" ht="15">
      <c r="A87" s="15" t="s">
        <v>47</v>
      </c>
      <c r="B87" s="15" t="s">
        <v>48</v>
      </c>
      <c r="C87" s="15" t="s">
        <v>49</v>
      </c>
      <c r="D87" s="15" t="s">
        <v>50</v>
      </c>
      <c r="E87" s="15" t="s">
        <v>51</v>
      </c>
    </row>
    <row r="88" spans="1:5" ht="12.75">
      <c r="A88" s="12" t="s">
        <v>319</v>
      </c>
      <c r="B88" s="4" t="s">
        <v>46</v>
      </c>
      <c r="C88" s="4" t="s">
        <v>241</v>
      </c>
      <c r="D88" s="4" t="s">
        <v>324</v>
      </c>
      <c r="E88" s="16" t="s">
        <v>394</v>
      </c>
    </row>
    <row r="89" spans="1:5" ht="12.75">
      <c r="A89" s="12" t="s">
        <v>354</v>
      </c>
      <c r="B89" s="4" t="s">
        <v>46</v>
      </c>
      <c r="C89" s="4" t="s">
        <v>52</v>
      </c>
      <c r="D89" s="4" t="s">
        <v>358</v>
      </c>
      <c r="E89" s="16" t="s">
        <v>395</v>
      </c>
    </row>
    <row r="90" spans="1:5" ht="12.75">
      <c r="A90" s="12" t="s">
        <v>223</v>
      </c>
      <c r="B90" s="4" t="s">
        <v>46</v>
      </c>
      <c r="C90" s="4" t="s">
        <v>171</v>
      </c>
      <c r="D90" s="4" t="s">
        <v>121</v>
      </c>
      <c r="E90" s="16" t="s">
        <v>396</v>
      </c>
    </row>
    <row r="91" spans="1:5" ht="12.75">
      <c r="A91" s="12" t="s">
        <v>214</v>
      </c>
      <c r="B91" s="4" t="s">
        <v>46</v>
      </c>
      <c r="C91" s="4" t="s">
        <v>52</v>
      </c>
      <c r="D91" s="4" t="s">
        <v>324</v>
      </c>
      <c r="E91" s="16" t="s">
        <v>397</v>
      </c>
    </row>
    <row r="92" spans="1:5" ht="12.75">
      <c r="A92" s="12" t="s">
        <v>175</v>
      </c>
      <c r="B92" s="4" t="s">
        <v>46</v>
      </c>
      <c r="C92" s="4" t="s">
        <v>228</v>
      </c>
      <c r="D92" s="4" t="s">
        <v>90</v>
      </c>
      <c r="E92" s="16" t="s">
        <v>398</v>
      </c>
    </row>
    <row r="93" spans="1:5" ht="12.75">
      <c r="A93" s="12" t="s">
        <v>180</v>
      </c>
      <c r="B93" s="4" t="s">
        <v>46</v>
      </c>
      <c r="C93" s="4" t="s">
        <v>168</v>
      </c>
      <c r="D93" s="4" t="s">
        <v>90</v>
      </c>
      <c r="E93" s="16" t="s">
        <v>399</v>
      </c>
    </row>
    <row r="94" spans="1:5" ht="12.75">
      <c r="A94" s="12" t="s">
        <v>360</v>
      </c>
      <c r="B94" s="4" t="s">
        <v>46</v>
      </c>
      <c r="C94" s="4" t="s">
        <v>52</v>
      </c>
      <c r="D94" s="4" t="s">
        <v>119</v>
      </c>
      <c r="E94" s="16" t="s">
        <v>400</v>
      </c>
    </row>
    <row r="95" spans="1:5" ht="12.75">
      <c r="A95" s="12" t="s">
        <v>342</v>
      </c>
      <c r="B95" s="4" t="s">
        <v>46</v>
      </c>
      <c r="C95" s="4" t="s">
        <v>233</v>
      </c>
      <c r="D95" s="4" t="s">
        <v>162</v>
      </c>
      <c r="E95" s="16" t="s">
        <v>401</v>
      </c>
    </row>
    <row r="96" spans="1:5" ht="12.75">
      <c r="A96" s="12" t="s">
        <v>326</v>
      </c>
      <c r="B96" s="4" t="s">
        <v>46</v>
      </c>
      <c r="C96" s="4" t="s">
        <v>241</v>
      </c>
      <c r="D96" s="4" t="s">
        <v>161</v>
      </c>
      <c r="E96" s="16" t="s">
        <v>402</v>
      </c>
    </row>
    <row r="97" spans="1:5" ht="12.75">
      <c r="A97" s="12" t="s">
        <v>370</v>
      </c>
      <c r="B97" s="4" t="s">
        <v>46</v>
      </c>
      <c r="C97" s="4" t="s">
        <v>171</v>
      </c>
      <c r="D97" s="4" t="s">
        <v>119</v>
      </c>
      <c r="E97" s="16" t="s">
        <v>403</v>
      </c>
    </row>
    <row r="98" spans="1:5" ht="12.75">
      <c r="A98" s="12" t="s">
        <v>338</v>
      </c>
      <c r="B98" s="4" t="s">
        <v>46</v>
      </c>
      <c r="C98" s="4" t="s">
        <v>233</v>
      </c>
      <c r="D98" s="4" t="s">
        <v>22</v>
      </c>
      <c r="E98" s="16" t="s">
        <v>404</v>
      </c>
    </row>
    <row r="99" spans="1:5" ht="12.75">
      <c r="A99" s="12" t="s">
        <v>346</v>
      </c>
      <c r="B99" s="4" t="s">
        <v>46</v>
      </c>
      <c r="C99" s="4" t="s">
        <v>233</v>
      </c>
      <c r="D99" s="4" t="s">
        <v>162</v>
      </c>
      <c r="E99" s="16" t="s">
        <v>405</v>
      </c>
    </row>
    <row r="100" spans="1:5" ht="12.75">
      <c r="A100" s="12" t="s">
        <v>219</v>
      </c>
      <c r="B100" s="4" t="s">
        <v>46</v>
      </c>
      <c r="C100" s="4" t="s">
        <v>52</v>
      </c>
      <c r="D100" s="4" t="s">
        <v>22</v>
      </c>
      <c r="E100" s="16" t="s">
        <v>406</v>
      </c>
    </row>
    <row r="101" spans="1:5" ht="12.75">
      <c r="A101" s="12" t="s">
        <v>375</v>
      </c>
      <c r="B101" s="4" t="s">
        <v>46</v>
      </c>
      <c r="C101" s="4" t="s">
        <v>171</v>
      </c>
      <c r="D101" s="4" t="s">
        <v>365</v>
      </c>
      <c r="E101" s="16" t="s">
        <v>407</v>
      </c>
    </row>
    <row r="102" spans="1:5" ht="12.75">
      <c r="A102" s="12" t="s">
        <v>366</v>
      </c>
      <c r="B102" s="4" t="s">
        <v>46</v>
      </c>
      <c r="C102" s="4" t="s">
        <v>52</v>
      </c>
      <c r="D102" s="4" t="s">
        <v>161</v>
      </c>
      <c r="E102" s="16" t="s">
        <v>408</v>
      </c>
    </row>
    <row r="103" spans="1:5" ht="12.75">
      <c r="A103" s="12" t="s">
        <v>186</v>
      </c>
      <c r="B103" s="4" t="s">
        <v>46</v>
      </c>
      <c r="C103" s="4" t="s">
        <v>168</v>
      </c>
      <c r="D103" s="4" t="s">
        <v>36</v>
      </c>
      <c r="E103" s="16" t="s">
        <v>237</v>
      </c>
    </row>
    <row r="104" spans="1:5" ht="12.75">
      <c r="A104" s="12" t="s">
        <v>380</v>
      </c>
      <c r="B104" s="4" t="s">
        <v>46</v>
      </c>
      <c r="C104" s="4" t="s">
        <v>171</v>
      </c>
      <c r="D104" s="4" t="s">
        <v>207</v>
      </c>
      <c r="E104" s="16" t="s">
        <v>409</v>
      </c>
    </row>
    <row r="105" spans="1:5" ht="12.75">
      <c r="A105" s="12" t="s">
        <v>350</v>
      </c>
      <c r="B105" s="4" t="s">
        <v>46</v>
      </c>
      <c r="C105" s="4" t="s">
        <v>233</v>
      </c>
      <c r="D105" s="4" t="s">
        <v>37</v>
      </c>
      <c r="E105" s="16" t="s">
        <v>410</v>
      </c>
    </row>
    <row r="106" spans="1:5" ht="12.75">
      <c r="A106" s="12" t="s">
        <v>303</v>
      </c>
      <c r="B106" s="4" t="s">
        <v>46</v>
      </c>
      <c r="C106" s="4" t="s">
        <v>130</v>
      </c>
      <c r="D106" s="4" t="s">
        <v>86</v>
      </c>
      <c r="E106" s="16" t="s">
        <v>411</v>
      </c>
    </row>
    <row r="108" spans="1:2" ht="14.25">
      <c r="A108" s="13"/>
      <c r="B108" s="14" t="s">
        <v>166</v>
      </c>
    </row>
    <row r="109" spans="1:5" ht="15">
      <c r="A109" s="15" t="s">
        <v>47</v>
      </c>
      <c r="B109" s="15" t="s">
        <v>48</v>
      </c>
      <c r="C109" s="15" t="s">
        <v>49</v>
      </c>
      <c r="D109" s="15" t="s">
        <v>50</v>
      </c>
      <c r="E109" s="15" t="s">
        <v>51</v>
      </c>
    </row>
    <row r="110" spans="1:5" ht="12.75">
      <c r="A110" s="12" t="s">
        <v>315</v>
      </c>
      <c r="B110" s="4" t="s">
        <v>412</v>
      </c>
      <c r="C110" s="4" t="s">
        <v>134</v>
      </c>
      <c r="D110" s="4" t="s">
        <v>97</v>
      </c>
      <c r="E110" s="16" t="s">
        <v>413</v>
      </c>
    </row>
    <row r="111" spans="1:5" ht="12.75">
      <c r="A111" s="12" t="s">
        <v>209</v>
      </c>
      <c r="B111" s="4" t="s">
        <v>238</v>
      </c>
      <c r="C111" s="4" t="s">
        <v>233</v>
      </c>
      <c r="D111" s="4" t="s">
        <v>98</v>
      </c>
      <c r="E111" s="16" t="s">
        <v>239</v>
      </c>
    </row>
    <row r="112" spans="1:5" ht="12.75">
      <c r="A112" s="12" t="s">
        <v>326</v>
      </c>
      <c r="B112" s="4" t="s">
        <v>240</v>
      </c>
      <c r="C112" s="4" t="s">
        <v>241</v>
      </c>
      <c r="D112" s="4" t="s">
        <v>161</v>
      </c>
      <c r="E112" s="16" t="s">
        <v>414</v>
      </c>
    </row>
    <row r="113" spans="1:5" ht="12.75">
      <c r="A113" s="12" t="s">
        <v>197</v>
      </c>
      <c r="B113" s="4" t="s">
        <v>240</v>
      </c>
      <c r="C113" s="4" t="s">
        <v>241</v>
      </c>
      <c r="D113" s="4" t="s">
        <v>98</v>
      </c>
      <c r="E113" s="16" t="s">
        <v>415</v>
      </c>
    </row>
  </sheetData>
  <sheetProtection/>
  <mergeCells count="22">
    <mergeCell ref="A44:L44"/>
    <mergeCell ref="A51:L51"/>
    <mergeCell ref="A15:L15"/>
    <mergeCell ref="A18:L18"/>
    <mergeCell ref="A22:L22"/>
    <mergeCell ref="A26:L26"/>
    <mergeCell ref="A30:L30"/>
    <mergeCell ref="A36:L36"/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0.00390625" style="4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27.25390625" style="4" bestFit="1" customWidth="1"/>
    <col min="14" max="16384" width="9.125" style="3" customWidth="1"/>
  </cols>
  <sheetData>
    <row r="1" spans="1:13" s="2" customFormat="1" ht="28.5" customHeight="1">
      <c r="A1" s="50" t="s">
        <v>673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6</v>
      </c>
      <c r="C3" s="58" t="s">
        <v>7</v>
      </c>
      <c r="D3" s="60" t="s">
        <v>9</v>
      </c>
      <c r="E3" s="60" t="s">
        <v>4</v>
      </c>
      <c r="F3" s="60" t="s">
        <v>8</v>
      </c>
      <c r="G3" s="60" t="s">
        <v>11</v>
      </c>
      <c r="H3" s="60"/>
      <c r="I3" s="60"/>
      <c r="J3" s="60"/>
      <c r="K3" s="60" t="s">
        <v>250</v>
      </c>
      <c r="L3" s="60" t="s">
        <v>3</v>
      </c>
      <c r="M3" s="61" t="s">
        <v>2</v>
      </c>
    </row>
    <row r="4" spans="1:13" s="1" customFormat="1" ht="21" customHeight="1" thickBot="1">
      <c r="A4" s="57"/>
      <c r="B4" s="59"/>
      <c r="C4" s="59"/>
      <c r="D4" s="59"/>
      <c r="E4" s="59"/>
      <c r="F4" s="59"/>
      <c r="G4" s="5">
        <v>1</v>
      </c>
      <c r="H4" s="5">
        <v>2</v>
      </c>
      <c r="I4" s="5">
        <v>3</v>
      </c>
      <c r="J4" s="5" t="s">
        <v>5</v>
      </c>
      <c r="K4" s="59"/>
      <c r="L4" s="59"/>
      <c r="M4" s="62"/>
    </row>
    <row r="5" spans="1:12" ht="15">
      <c r="A5" s="46" t="s">
        <v>147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6" t="s">
        <v>268</v>
      </c>
      <c r="B6" s="6" t="s">
        <v>269</v>
      </c>
      <c r="C6" s="6" t="s">
        <v>270</v>
      </c>
      <c r="D6" s="6" t="str">
        <f>"0,6797"</f>
        <v>0,6797</v>
      </c>
      <c r="E6" s="6" t="s">
        <v>31</v>
      </c>
      <c r="F6" s="6" t="s">
        <v>271</v>
      </c>
      <c r="G6" s="8" t="s">
        <v>89</v>
      </c>
      <c r="H6" s="7" t="s">
        <v>37</v>
      </c>
      <c r="I6" s="7" t="s">
        <v>37</v>
      </c>
      <c r="J6" s="7"/>
      <c r="K6" s="6" t="str">
        <f>"125,0"</f>
        <v>125,0</v>
      </c>
      <c r="L6" s="8" t="str">
        <f>"84,9625"</f>
        <v>84,9625</v>
      </c>
      <c r="M6" s="6" t="s">
        <v>272</v>
      </c>
    </row>
    <row r="8" spans="5:6" ht="15">
      <c r="E8" s="9" t="s">
        <v>40</v>
      </c>
      <c r="F8" s="45" t="s">
        <v>686</v>
      </c>
    </row>
    <row r="9" spans="5:6" ht="15">
      <c r="E9" s="9" t="s">
        <v>41</v>
      </c>
      <c r="F9" s="45" t="s">
        <v>687</v>
      </c>
    </row>
    <row r="10" spans="5:6" ht="15">
      <c r="E10" s="9" t="s">
        <v>42</v>
      </c>
      <c r="F10" s="45" t="s">
        <v>688</v>
      </c>
    </row>
    <row r="11" spans="5:6" ht="15">
      <c r="E11" s="9" t="s">
        <v>43</v>
      </c>
      <c r="F11" s="45" t="s">
        <v>689</v>
      </c>
    </row>
    <row r="12" spans="5:6" ht="15">
      <c r="E12" s="9" t="s">
        <v>43</v>
      </c>
      <c r="F12" s="45" t="s">
        <v>690</v>
      </c>
    </row>
    <row r="13" ht="15">
      <c r="E13" s="9"/>
    </row>
    <row r="14" ht="15">
      <c r="E14" s="9"/>
    </row>
    <row r="16" spans="1:2" ht="18">
      <c r="A16" s="10" t="s">
        <v>44</v>
      </c>
      <c r="B16" s="10"/>
    </row>
    <row r="17" spans="1:2" ht="15">
      <c r="A17" s="11" t="s">
        <v>45</v>
      </c>
      <c r="B17" s="11"/>
    </row>
    <row r="18" spans="1:2" ht="14.25">
      <c r="A18" s="13"/>
      <c r="B18" s="14" t="s">
        <v>46</v>
      </c>
    </row>
    <row r="19" spans="1:5" ht="15">
      <c r="A19" s="15" t="s">
        <v>47</v>
      </c>
      <c r="B19" s="15" t="s">
        <v>48</v>
      </c>
      <c r="C19" s="15" t="s">
        <v>49</v>
      </c>
      <c r="D19" s="15" t="s">
        <v>50</v>
      </c>
      <c r="E19" s="15" t="s">
        <v>51</v>
      </c>
    </row>
    <row r="20" spans="1:5" ht="12.75">
      <c r="A20" s="12" t="s">
        <v>267</v>
      </c>
      <c r="B20" s="4" t="s">
        <v>46</v>
      </c>
      <c r="C20" s="4" t="s">
        <v>168</v>
      </c>
      <c r="D20" s="4" t="s">
        <v>89</v>
      </c>
      <c r="E20" s="16" t="s">
        <v>273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27.25390625" style="4" bestFit="1" customWidth="1"/>
    <col min="4" max="4" width="9.25390625" style="4" bestFit="1" customWidth="1"/>
    <col min="5" max="5" width="22.75390625" style="4" bestFit="1" customWidth="1"/>
    <col min="6" max="6" width="29.00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6.375" style="4" bestFit="1" customWidth="1"/>
    <col min="14" max="16384" width="9.125" style="3" customWidth="1"/>
  </cols>
  <sheetData>
    <row r="1" spans="1:13" s="2" customFormat="1" ht="28.5" customHeight="1">
      <c r="A1" s="50" t="s">
        <v>674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6</v>
      </c>
      <c r="C3" s="58" t="s">
        <v>7</v>
      </c>
      <c r="D3" s="60" t="s">
        <v>9</v>
      </c>
      <c r="E3" s="60" t="s">
        <v>4</v>
      </c>
      <c r="F3" s="60" t="s">
        <v>8</v>
      </c>
      <c r="G3" s="60" t="s">
        <v>11</v>
      </c>
      <c r="H3" s="60"/>
      <c r="I3" s="60"/>
      <c r="J3" s="60"/>
      <c r="K3" s="60" t="s">
        <v>250</v>
      </c>
      <c r="L3" s="60" t="s">
        <v>3</v>
      </c>
      <c r="M3" s="61" t="s">
        <v>2</v>
      </c>
    </row>
    <row r="4" spans="1:13" s="1" customFormat="1" ht="21" customHeight="1" thickBot="1">
      <c r="A4" s="57"/>
      <c r="B4" s="59"/>
      <c r="C4" s="59"/>
      <c r="D4" s="59"/>
      <c r="E4" s="59"/>
      <c r="F4" s="59"/>
      <c r="G4" s="5">
        <v>1</v>
      </c>
      <c r="H4" s="5">
        <v>2</v>
      </c>
      <c r="I4" s="5">
        <v>3</v>
      </c>
      <c r="J4" s="5" t="s">
        <v>5</v>
      </c>
      <c r="K4" s="59"/>
      <c r="L4" s="59"/>
      <c r="M4" s="62"/>
    </row>
    <row r="5" spans="1:12" ht="15">
      <c r="A5" s="46" t="s">
        <v>13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17" t="s">
        <v>252</v>
      </c>
      <c r="B6" s="17" t="s">
        <v>253</v>
      </c>
      <c r="C6" s="17" t="s">
        <v>254</v>
      </c>
      <c r="D6" s="17" t="str">
        <f>"0,5365"</f>
        <v>0,5365</v>
      </c>
      <c r="E6" s="17" t="s">
        <v>179</v>
      </c>
      <c r="F6" s="17" t="s">
        <v>227</v>
      </c>
      <c r="G6" s="18" t="s">
        <v>161</v>
      </c>
      <c r="H6" s="18" t="s">
        <v>162</v>
      </c>
      <c r="I6" s="19"/>
      <c r="J6" s="19"/>
      <c r="K6" s="17" t="str">
        <f>"167,5"</f>
        <v>167,5</v>
      </c>
      <c r="L6" s="18" t="str">
        <f>"89,8637"</f>
        <v>89,8637</v>
      </c>
      <c r="M6" s="17" t="s">
        <v>124</v>
      </c>
    </row>
    <row r="7" spans="1:13" ht="12.75">
      <c r="A7" s="20" t="s">
        <v>256</v>
      </c>
      <c r="B7" s="20" t="s">
        <v>257</v>
      </c>
      <c r="C7" s="20" t="s">
        <v>258</v>
      </c>
      <c r="D7" s="20" t="str">
        <f>"0,5429"</f>
        <v>0,5429</v>
      </c>
      <c r="E7" s="20" t="s">
        <v>69</v>
      </c>
      <c r="F7" s="20" t="s">
        <v>32</v>
      </c>
      <c r="G7" s="21" t="s">
        <v>207</v>
      </c>
      <c r="H7" s="21" t="s">
        <v>99</v>
      </c>
      <c r="I7" s="22" t="s">
        <v>162</v>
      </c>
      <c r="J7" s="22"/>
      <c r="K7" s="20" t="str">
        <f>"165,0"</f>
        <v>165,0</v>
      </c>
      <c r="L7" s="21" t="str">
        <f>"89,5785"</f>
        <v>89,5785</v>
      </c>
      <c r="M7" s="20" t="s">
        <v>208</v>
      </c>
    </row>
    <row r="8" spans="1:13" ht="12.75">
      <c r="A8" s="23" t="s">
        <v>252</v>
      </c>
      <c r="B8" s="23" t="s">
        <v>259</v>
      </c>
      <c r="C8" s="23" t="s">
        <v>254</v>
      </c>
      <c r="D8" s="23" t="str">
        <f>"0,5365"</f>
        <v>0,5365</v>
      </c>
      <c r="E8" s="23" t="s">
        <v>179</v>
      </c>
      <c r="F8" s="23" t="s">
        <v>227</v>
      </c>
      <c r="G8" s="24" t="s">
        <v>161</v>
      </c>
      <c r="H8" s="24" t="s">
        <v>162</v>
      </c>
      <c r="I8" s="25"/>
      <c r="J8" s="25"/>
      <c r="K8" s="23" t="str">
        <f>"167,5"</f>
        <v>167,5</v>
      </c>
      <c r="L8" s="24" t="str">
        <f>"119,5188"</f>
        <v>119,5188</v>
      </c>
      <c r="M8" s="23" t="s">
        <v>124</v>
      </c>
    </row>
    <row r="10" spans="5:6" ht="15">
      <c r="E10" s="9" t="s">
        <v>40</v>
      </c>
      <c r="F10" s="45" t="s">
        <v>686</v>
      </c>
    </row>
    <row r="11" spans="5:6" ht="15">
      <c r="E11" s="9" t="s">
        <v>41</v>
      </c>
      <c r="F11" s="45" t="s">
        <v>687</v>
      </c>
    </row>
    <row r="12" spans="5:6" ht="15">
      <c r="E12" s="9" t="s">
        <v>42</v>
      </c>
      <c r="F12" s="45" t="s">
        <v>688</v>
      </c>
    </row>
    <row r="13" spans="5:6" ht="15">
      <c r="E13" s="9" t="s">
        <v>43</v>
      </c>
      <c r="F13" s="45" t="s">
        <v>689</v>
      </c>
    </row>
    <row r="14" spans="5:6" ht="15">
      <c r="E14" s="9" t="s">
        <v>43</v>
      </c>
      <c r="F14" s="45" t="s">
        <v>690</v>
      </c>
    </row>
    <row r="15" ht="15">
      <c r="E15" s="9"/>
    </row>
    <row r="16" ht="15">
      <c r="E16" s="9"/>
    </row>
    <row r="18" spans="1:2" ht="18">
      <c r="A18" s="10" t="s">
        <v>44</v>
      </c>
      <c r="B18" s="10"/>
    </row>
    <row r="19" spans="1:2" ht="15">
      <c r="A19" s="11" t="s">
        <v>45</v>
      </c>
      <c r="B19" s="11"/>
    </row>
    <row r="20" spans="1:2" ht="14.25">
      <c r="A20" s="13"/>
      <c r="B20" s="14" t="s">
        <v>46</v>
      </c>
    </row>
    <row r="21" spans="1:5" ht="15">
      <c r="A21" s="15" t="s">
        <v>47</v>
      </c>
      <c r="B21" s="15" t="s">
        <v>48</v>
      </c>
      <c r="C21" s="15" t="s">
        <v>49</v>
      </c>
      <c r="D21" s="15" t="s">
        <v>50</v>
      </c>
      <c r="E21" s="15" t="s">
        <v>51</v>
      </c>
    </row>
    <row r="22" spans="1:5" ht="12.75">
      <c r="A22" s="12" t="s">
        <v>251</v>
      </c>
      <c r="B22" s="4" t="s">
        <v>46</v>
      </c>
      <c r="C22" s="4" t="s">
        <v>52</v>
      </c>
      <c r="D22" s="4" t="s">
        <v>162</v>
      </c>
      <c r="E22" s="16" t="s">
        <v>260</v>
      </c>
    </row>
    <row r="23" spans="1:5" ht="12.75">
      <c r="A23" s="12" t="s">
        <v>255</v>
      </c>
      <c r="B23" s="4" t="s">
        <v>46</v>
      </c>
      <c r="C23" s="4" t="s">
        <v>52</v>
      </c>
      <c r="D23" s="4" t="s">
        <v>99</v>
      </c>
      <c r="E23" s="16" t="s">
        <v>261</v>
      </c>
    </row>
    <row r="25" spans="1:2" ht="14.25">
      <c r="A25" s="13"/>
      <c r="B25" s="14" t="s">
        <v>166</v>
      </c>
    </row>
    <row r="26" spans="1:5" ht="15">
      <c r="A26" s="15" t="s">
        <v>47</v>
      </c>
      <c r="B26" s="15" t="s">
        <v>48</v>
      </c>
      <c r="C26" s="15" t="s">
        <v>49</v>
      </c>
      <c r="D26" s="15" t="s">
        <v>50</v>
      </c>
      <c r="E26" s="15" t="s">
        <v>51</v>
      </c>
    </row>
    <row r="27" spans="1:5" ht="12.75">
      <c r="A27" s="12" t="s">
        <v>251</v>
      </c>
      <c r="B27" s="4" t="s">
        <v>238</v>
      </c>
      <c r="C27" s="4" t="s">
        <v>52</v>
      </c>
      <c r="D27" s="4" t="s">
        <v>162</v>
      </c>
      <c r="E27" s="16" t="s">
        <v>262</v>
      </c>
    </row>
    <row r="32" spans="1:2" ht="18">
      <c r="A32" s="10" t="s">
        <v>58</v>
      </c>
      <c r="B32" s="10"/>
    </row>
    <row r="33" spans="1:3" ht="15">
      <c r="A33" s="15" t="s">
        <v>59</v>
      </c>
      <c r="B33" s="15" t="s">
        <v>60</v>
      </c>
      <c r="C33" s="15" t="s">
        <v>61</v>
      </c>
    </row>
    <row r="34" spans="1:3" ht="12.75">
      <c r="A34" s="4" t="s">
        <v>179</v>
      </c>
      <c r="B34" s="4" t="s">
        <v>263</v>
      </c>
      <c r="C34" s="4" t="s">
        <v>264</v>
      </c>
    </row>
    <row r="35" spans="1:3" ht="12.75">
      <c r="A35" s="4" t="s">
        <v>69</v>
      </c>
      <c r="B35" s="4" t="s">
        <v>265</v>
      </c>
      <c r="C35" s="4" t="s">
        <v>266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D13">
      <selection activeCell="E34" sqref="E34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68.87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9.00390625" style="4" bestFit="1" customWidth="1"/>
    <col min="14" max="16384" width="9.125" style="3" customWidth="1"/>
  </cols>
  <sheetData>
    <row r="1" spans="1:13" s="2" customFormat="1" ht="28.5" customHeight="1">
      <c r="A1" s="50" t="s">
        <v>675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6</v>
      </c>
      <c r="C3" s="58" t="s">
        <v>7</v>
      </c>
      <c r="D3" s="60" t="s">
        <v>9</v>
      </c>
      <c r="E3" s="60" t="s">
        <v>4</v>
      </c>
      <c r="F3" s="60" t="s">
        <v>8</v>
      </c>
      <c r="G3" s="60" t="s">
        <v>11</v>
      </c>
      <c r="H3" s="60"/>
      <c r="I3" s="60"/>
      <c r="J3" s="60"/>
      <c r="K3" s="60" t="s">
        <v>250</v>
      </c>
      <c r="L3" s="60" t="s">
        <v>3</v>
      </c>
      <c r="M3" s="61" t="s">
        <v>2</v>
      </c>
    </row>
    <row r="4" spans="1:13" s="1" customFormat="1" ht="21" customHeight="1" thickBot="1">
      <c r="A4" s="57"/>
      <c r="B4" s="59"/>
      <c r="C4" s="59"/>
      <c r="D4" s="59"/>
      <c r="E4" s="59"/>
      <c r="F4" s="59"/>
      <c r="G4" s="5">
        <v>1</v>
      </c>
      <c r="H4" s="5">
        <v>2</v>
      </c>
      <c r="I4" s="5">
        <v>3</v>
      </c>
      <c r="J4" s="5" t="s">
        <v>5</v>
      </c>
      <c r="K4" s="59"/>
      <c r="L4" s="59"/>
      <c r="M4" s="62"/>
    </row>
    <row r="5" spans="1:12" ht="15">
      <c r="A5" s="46" t="s">
        <v>174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6" t="s">
        <v>176</v>
      </c>
      <c r="B6" s="6" t="s">
        <v>177</v>
      </c>
      <c r="C6" s="6" t="s">
        <v>178</v>
      </c>
      <c r="D6" s="6" t="str">
        <f>"0,7258"</f>
        <v>0,7258</v>
      </c>
      <c r="E6" s="6" t="s">
        <v>179</v>
      </c>
      <c r="F6" s="6" t="s">
        <v>160</v>
      </c>
      <c r="G6" s="8" t="s">
        <v>36</v>
      </c>
      <c r="H6" s="8" t="s">
        <v>37</v>
      </c>
      <c r="I6" s="8" t="s">
        <v>38</v>
      </c>
      <c r="J6" s="7"/>
      <c r="K6" s="6" t="str">
        <f>"137,5"</f>
        <v>137,5</v>
      </c>
      <c r="L6" s="8" t="str">
        <f>"99,7975"</f>
        <v>99,7975</v>
      </c>
      <c r="M6" s="6" t="s">
        <v>124</v>
      </c>
    </row>
    <row r="8" spans="1:12" ht="15">
      <c r="A8" s="48" t="s">
        <v>147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3" ht="12.75">
      <c r="A9" s="17" t="s">
        <v>181</v>
      </c>
      <c r="B9" s="17" t="s">
        <v>182</v>
      </c>
      <c r="C9" s="17" t="s">
        <v>183</v>
      </c>
      <c r="D9" s="17" t="str">
        <f>"0,6774"</f>
        <v>0,6774</v>
      </c>
      <c r="E9" s="17" t="s">
        <v>179</v>
      </c>
      <c r="F9" s="17" t="s">
        <v>184</v>
      </c>
      <c r="G9" s="18" t="s">
        <v>37</v>
      </c>
      <c r="H9" s="18" t="s">
        <v>38</v>
      </c>
      <c r="I9" s="19" t="s">
        <v>97</v>
      </c>
      <c r="J9" s="19"/>
      <c r="K9" s="17" t="str">
        <f>"137,5"</f>
        <v>137,5</v>
      </c>
      <c r="L9" s="18" t="str">
        <f>"93,1425"</f>
        <v>93,1425</v>
      </c>
      <c r="M9" s="17" t="s">
        <v>185</v>
      </c>
    </row>
    <row r="10" spans="1:13" ht="12.75">
      <c r="A10" s="23" t="s">
        <v>187</v>
      </c>
      <c r="B10" s="23" t="s">
        <v>188</v>
      </c>
      <c r="C10" s="23" t="s">
        <v>189</v>
      </c>
      <c r="D10" s="23" t="str">
        <f>"0,6993"</f>
        <v>0,6993</v>
      </c>
      <c r="E10" s="23" t="s">
        <v>179</v>
      </c>
      <c r="F10" s="23" t="s">
        <v>19</v>
      </c>
      <c r="G10" s="24" t="s">
        <v>112</v>
      </c>
      <c r="H10" s="24" t="s">
        <v>36</v>
      </c>
      <c r="I10" s="25" t="s">
        <v>89</v>
      </c>
      <c r="J10" s="25"/>
      <c r="K10" s="23" t="str">
        <f>"120,0"</f>
        <v>120,0</v>
      </c>
      <c r="L10" s="24" t="str">
        <f>"83,9160"</f>
        <v>83,9160</v>
      </c>
      <c r="M10" s="23" t="s">
        <v>190</v>
      </c>
    </row>
    <row r="12" spans="1:12" ht="15">
      <c r="A12" s="48" t="s">
        <v>92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3" ht="12.75">
      <c r="A13" s="6" t="s">
        <v>192</v>
      </c>
      <c r="B13" s="6" t="s">
        <v>193</v>
      </c>
      <c r="C13" s="6" t="s">
        <v>194</v>
      </c>
      <c r="D13" s="6" t="str">
        <f>"0,6246"</f>
        <v>0,6246</v>
      </c>
      <c r="E13" s="6" t="s">
        <v>84</v>
      </c>
      <c r="F13" s="6" t="s">
        <v>85</v>
      </c>
      <c r="G13" s="8" t="s">
        <v>195</v>
      </c>
      <c r="H13" s="8" t="s">
        <v>97</v>
      </c>
      <c r="I13" s="7"/>
      <c r="J13" s="7"/>
      <c r="K13" s="6" t="str">
        <f>"140,0"</f>
        <v>140,0</v>
      </c>
      <c r="L13" s="8" t="str">
        <f>"87,4440"</f>
        <v>87,4440</v>
      </c>
      <c r="M13" s="6" t="s">
        <v>91</v>
      </c>
    </row>
    <row r="15" spans="1:12" ht="15">
      <c r="A15" s="48" t="s">
        <v>196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3" ht="12.75">
      <c r="A16" s="6" t="s">
        <v>198</v>
      </c>
      <c r="B16" s="6" t="s">
        <v>199</v>
      </c>
      <c r="C16" s="6" t="s">
        <v>200</v>
      </c>
      <c r="D16" s="6" t="str">
        <f>"0,5873"</f>
        <v>0,5873</v>
      </c>
      <c r="E16" s="6" t="s">
        <v>84</v>
      </c>
      <c r="F16" s="6" t="s">
        <v>85</v>
      </c>
      <c r="G16" s="7" t="s">
        <v>37</v>
      </c>
      <c r="H16" s="8" t="s">
        <v>201</v>
      </c>
      <c r="I16" s="7"/>
      <c r="J16" s="7"/>
      <c r="K16" s="6" t="str">
        <f>"142,5"</f>
        <v>142,5</v>
      </c>
      <c r="L16" s="8" t="str">
        <f>"91,3898"</f>
        <v>91,3898</v>
      </c>
      <c r="M16" s="6" t="s">
        <v>91</v>
      </c>
    </row>
    <row r="18" spans="1:12" ht="15">
      <c r="A18" s="48" t="s">
        <v>202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3" ht="12.75">
      <c r="A19" s="17" t="s">
        <v>204</v>
      </c>
      <c r="B19" s="17" t="s">
        <v>205</v>
      </c>
      <c r="C19" s="17" t="s">
        <v>206</v>
      </c>
      <c r="D19" s="17" t="str">
        <f>"0,5648"</f>
        <v>0,5648</v>
      </c>
      <c r="E19" s="17" t="s">
        <v>69</v>
      </c>
      <c r="F19" s="17" t="s">
        <v>32</v>
      </c>
      <c r="G19" s="18" t="s">
        <v>207</v>
      </c>
      <c r="H19" s="18" t="s">
        <v>161</v>
      </c>
      <c r="I19" s="19" t="s">
        <v>163</v>
      </c>
      <c r="J19" s="19"/>
      <c r="K19" s="17" t="str">
        <f>"160,0"</f>
        <v>160,0</v>
      </c>
      <c r="L19" s="18" t="str">
        <f>"90,3680"</f>
        <v>90,3680</v>
      </c>
      <c r="M19" s="17" t="s">
        <v>208</v>
      </c>
    </row>
    <row r="20" spans="1:13" ht="12.75">
      <c r="A20" s="23" t="s">
        <v>210</v>
      </c>
      <c r="B20" s="23" t="s">
        <v>211</v>
      </c>
      <c r="C20" s="23" t="s">
        <v>212</v>
      </c>
      <c r="D20" s="23" t="str">
        <f>"0,5548"</f>
        <v>0,5548</v>
      </c>
      <c r="E20" s="23" t="s">
        <v>84</v>
      </c>
      <c r="F20" s="23" t="s">
        <v>85</v>
      </c>
      <c r="G20" s="24" t="s">
        <v>213</v>
      </c>
      <c r="H20" s="24" t="s">
        <v>98</v>
      </c>
      <c r="I20" s="25"/>
      <c r="J20" s="25"/>
      <c r="K20" s="23" t="str">
        <f>"150,0"</f>
        <v>150,0</v>
      </c>
      <c r="L20" s="24" t="str">
        <f>"110,6826"</f>
        <v>110,6826</v>
      </c>
      <c r="M20" s="23" t="s">
        <v>124</v>
      </c>
    </row>
    <row r="22" spans="1:12" ht="15">
      <c r="A22" s="48" t="s">
        <v>13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3" ht="12.75">
      <c r="A23" s="17" t="s">
        <v>215</v>
      </c>
      <c r="B23" s="17" t="s">
        <v>216</v>
      </c>
      <c r="C23" s="17" t="s">
        <v>217</v>
      </c>
      <c r="D23" s="17" t="str">
        <f>"0,5414"</f>
        <v>0,5414</v>
      </c>
      <c r="E23" s="17" t="s">
        <v>218</v>
      </c>
      <c r="F23" s="17" t="s">
        <v>160</v>
      </c>
      <c r="G23" s="18" t="s">
        <v>22</v>
      </c>
      <c r="H23" s="18" t="s">
        <v>119</v>
      </c>
      <c r="I23" s="19"/>
      <c r="J23" s="19"/>
      <c r="K23" s="17" t="str">
        <f>"180,0"</f>
        <v>180,0</v>
      </c>
      <c r="L23" s="18" t="str">
        <f>"97,4520"</f>
        <v>97,4520</v>
      </c>
      <c r="M23" s="17" t="s">
        <v>124</v>
      </c>
    </row>
    <row r="24" spans="1:13" ht="12.75">
      <c r="A24" s="23" t="s">
        <v>220</v>
      </c>
      <c r="B24" s="23" t="s">
        <v>221</v>
      </c>
      <c r="C24" s="23" t="s">
        <v>222</v>
      </c>
      <c r="D24" s="23" t="str">
        <f>"0,5421"</f>
        <v>0,5421</v>
      </c>
      <c r="E24" s="23" t="s">
        <v>69</v>
      </c>
      <c r="F24" s="23" t="s">
        <v>32</v>
      </c>
      <c r="G24" s="24" t="s">
        <v>207</v>
      </c>
      <c r="H24" s="24" t="s">
        <v>161</v>
      </c>
      <c r="I24" s="24" t="s">
        <v>99</v>
      </c>
      <c r="J24" s="25"/>
      <c r="K24" s="23" t="str">
        <f>"165,0"</f>
        <v>165,0</v>
      </c>
      <c r="L24" s="24" t="str">
        <f>"89,4465"</f>
        <v>89,4465</v>
      </c>
      <c r="M24" s="23" t="s">
        <v>208</v>
      </c>
    </row>
    <row r="26" spans="1:12" ht="15">
      <c r="A26" s="48" t="s">
        <v>155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3" ht="12.75">
      <c r="A27" s="6" t="s">
        <v>224</v>
      </c>
      <c r="B27" s="6" t="s">
        <v>225</v>
      </c>
      <c r="C27" s="6" t="s">
        <v>226</v>
      </c>
      <c r="D27" s="6" t="str">
        <f>"0,5302"</f>
        <v>0,5302</v>
      </c>
      <c r="E27" s="6" t="s">
        <v>179</v>
      </c>
      <c r="F27" s="6" t="s">
        <v>227</v>
      </c>
      <c r="G27" s="8" t="s">
        <v>119</v>
      </c>
      <c r="H27" s="7" t="s">
        <v>24</v>
      </c>
      <c r="I27" s="7" t="s">
        <v>24</v>
      </c>
      <c r="J27" s="7"/>
      <c r="K27" s="6" t="str">
        <f>"180,0"</f>
        <v>180,0</v>
      </c>
      <c r="L27" s="8" t="str">
        <f>"95,4360"</f>
        <v>95,4360</v>
      </c>
      <c r="M27" s="6" t="s">
        <v>124</v>
      </c>
    </row>
    <row r="29" spans="5:6" ht="15">
      <c r="E29" s="9" t="s">
        <v>40</v>
      </c>
      <c r="F29" s="45" t="s">
        <v>686</v>
      </c>
    </row>
    <row r="30" spans="5:6" ht="15">
      <c r="E30" s="9" t="s">
        <v>41</v>
      </c>
      <c r="F30" s="45" t="s">
        <v>687</v>
      </c>
    </row>
    <row r="31" spans="5:6" ht="15">
      <c r="E31" s="9" t="s">
        <v>42</v>
      </c>
      <c r="F31" s="45" t="s">
        <v>688</v>
      </c>
    </row>
    <row r="32" spans="5:6" ht="15">
      <c r="E32" s="9" t="s">
        <v>43</v>
      </c>
      <c r="F32" s="45" t="s">
        <v>689</v>
      </c>
    </row>
    <row r="33" spans="5:6" ht="15">
      <c r="E33" s="9" t="s">
        <v>43</v>
      </c>
      <c r="F33" s="45" t="s">
        <v>690</v>
      </c>
    </row>
    <row r="34" ht="15">
      <c r="E34" s="9"/>
    </row>
    <row r="35" ht="15">
      <c r="E35" s="9"/>
    </row>
    <row r="37" spans="1:2" ht="18">
      <c r="A37" s="10" t="s">
        <v>44</v>
      </c>
      <c r="B37" s="10"/>
    </row>
    <row r="38" spans="1:2" ht="15">
      <c r="A38" s="11" t="s">
        <v>45</v>
      </c>
      <c r="B38" s="11"/>
    </row>
    <row r="39" spans="1:2" ht="14.25">
      <c r="A39" s="13"/>
      <c r="B39" s="14" t="s">
        <v>46</v>
      </c>
    </row>
    <row r="40" spans="1:5" ht="15">
      <c r="A40" s="15" t="s">
        <v>47</v>
      </c>
      <c r="B40" s="15" t="s">
        <v>48</v>
      </c>
      <c r="C40" s="15" t="s">
        <v>49</v>
      </c>
      <c r="D40" s="15" t="s">
        <v>50</v>
      </c>
      <c r="E40" s="15" t="s">
        <v>51</v>
      </c>
    </row>
    <row r="41" spans="1:5" ht="12.75">
      <c r="A41" s="12" t="s">
        <v>175</v>
      </c>
      <c r="B41" s="4" t="s">
        <v>46</v>
      </c>
      <c r="C41" s="4" t="s">
        <v>228</v>
      </c>
      <c r="D41" s="4" t="s">
        <v>38</v>
      </c>
      <c r="E41" s="16" t="s">
        <v>229</v>
      </c>
    </row>
    <row r="42" spans="1:5" ht="12.75">
      <c r="A42" s="12" t="s">
        <v>214</v>
      </c>
      <c r="B42" s="4" t="s">
        <v>46</v>
      </c>
      <c r="C42" s="4" t="s">
        <v>52</v>
      </c>
      <c r="D42" s="4" t="s">
        <v>119</v>
      </c>
      <c r="E42" s="16" t="s">
        <v>230</v>
      </c>
    </row>
    <row r="43" spans="1:5" ht="12.75">
      <c r="A43" s="12" t="s">
        <v>223</v>
      </c>
      <c r="B43" s="4" t="s">
        <v>46</v>
      </c>
      <c r="C43" s="4" t="s">
        <v>171</v>
      </c>
      <c r="D43" s="4" t="s">
        <v>119</v>
      </c>
      <c r="E43" s="16" t="s">
        <v>231</v>
      </c>
    </row>
    <row r="44" spans="1:5" ht="12.75">
      <c r="A44" s="12" t="s">
        <v>180</v>
      </c>
      <c r="B44" s="4" t="s">
        <v>46</v>
      </c>
      <c r="C44" s="4" t="s">
        <v>168</v>
      </c>
      <c r="D44" s="4" t="s">
        <v>38</v>
      </c>
      <c r="E44" s="16" t="s">
        <v>232</v>
      </c>
    </row>
    <row r="45" spans="1:5" ht="12.75">
      <c r="A45" s="12" t="s">
        <v>203</v>
      </c>
      <c r="B45" s="4" t="s">
        <v>46</v>
      </c>
      <c r="C45" s="4" t="s">
        <v>233</v>
      </c>
      <c r="D45" s="4" t="s">
        <v>161</v>
      </c>
      <c r="E45" s="16" t="s">
        <v>234</v>
      </c>
    </row>
    <row r="46" spans="1:5" ht="12.75">
      <c r="A46" s="12" t="s">
        <v>219</v>
      </c>
      <c r="B46" s="4" t="s">
        <v>46</v>
      </c>
      <c r="C46" s="4" t="s">
        <v>52</v>
      </c>
      <c r="D46" s="4" t="s">
        <v>99</v>
      </c>
      <c r="E46" s="16" t="s">
        <v>235</v>
      </c>
    </row>
    <row r="47" spans="1:5" ht="12.75">
      <c r="A47" s="12" t="s">
        <v>191</v>
      </c>
      <c r="B47" s="4" t="s">
        <v>46</v>
      </c>
      <c r="C47" s="4" t="s">
        <v>134</v>
      </c>
      <c r="D47" s="4" t="s">
        <v>97</v>
      </c>
      <c r="E47" s="16" t="s">
        <v>236</v>
      </c>
    </row>
    <row r="48" spans="1:5" ht="12.75">
      <c r="A48" s="12" t="s">
        <v>186</v>
      </c>
      <c r="B48" s="4" t="s">
        <v>46</v>
      </c>
      <c r="C48" s="4" t="s">
        <v>168</v>
      </c>
      <c r="D48" s="4" t="s">
        <v>36</v>
      </c>
      <c r="E48" s="16" t="s">
        <v>237</v>
      </c>
    </row>
    <row r="50" spans="1:2" ht="14.25">
      <c r="A50" s="13"/>
      <c r="B50" s="14" t="s">
        <v>166</v>
      </c>
    </row>
    <row r="51" spans="1:5" ht="15">
      <c r="A51" s="15" t="s">
        <v>47</v>
      </c>
      <c r="B51" s="15" t="s">
        <v>48</v>
      </c>
      <c r="C51" s="15" t="s">
        <v>49</v>
      </c>
      <c r="D51" s="15" t="s">
        <v>50</v>
      </c>
      <c r="E51" s="15" t="s">
        <v>51</v>
      </c>
    </row>
    <row r="52" spans="1:5" ht="12.75">
      <c r="A52" s="12" t="s">
        <v>209</v>
      </c>
      <c r="B52" s="4" t="s">
        <v>238</v>
      </c>
      <c r="C52" s="4" t="s">
        <v>233</v>
      </c>
      <c r="D52" s="4" t="s">
        <v>98</v>
      </c>
      <c r="E52" s="16" t="s">
        <v>239</v>
      </c>
    </row>
    <row r="53" spans="1:5" ht="12.75">
      <c r="A53" s="12" t="s">
        <v>197</v>
      </c>
      <c r="B53" s="4" t="s">
        <v>240</v>
      </c>
      <c r="C53" s="4" t="s">
        <v>241</v>
      </c>
      <c r="D53" s="4" t="s">
        <v>201</v>
      </c>
      <c r="E53" s="16" t="s">
        <v>242</v>
      </c>
    </row>
    <row r="58" spans="1:2" ht="18">
      <c r="A58" s="10" t="s">
        <v>58</v>
      </c>
      <c r="B58" s="10"/>
    </row>
    <row r="59" spans="1:3" ht="15">
      <c r="A59" s="15" t="s">
        <v>59</v>
      </c>
      <c r="B59" s="15" t="s">
        <v>60</v>
      </c>
      <c r="C59" s="15" t="s">
        <v>61</v>
      </c>
    </row>
    <row r="60" spans="1:3" ht="12.75">
      <c r="A60" s="4" t="s">
        <v>179</v>
      </c>
      <c r="B60" s="4" t="s">
        <v>243</v>
      </c>
      <c r="C60" s="4" t="s">
        <v>244</v>
      </c>
    </row>
    <row r="61" spans="1:3" ht="12.75">
      <c r="A61" s="4" t="s">
        <v>84</v>
      </c>
      <c r="B61" s="4" t="s">
        <v>245</v>
      </c>
      <c r="C61" s="4" t="s">
        <v>246</v>
      </c>
    </row>
    <row r="62" spans="1:3" ht="12.75">
      <c r="A62" s="4" t="s">
        <v>69</v>
      </c>
      <c r="B62" s="4" t="s">
        <v>247</v>
      </c>
      <c r="C62" s="4" t="s">
        <v>248</v>
      </c>
    </row>
    <row r="63" spans="1:3" ht="12.75">
      <c r="A63" s="4" t="s">
        <v>218</v>
      </c>
      <c r="B63" s="4" t="s">
        <v>62</v>
      </c>
      <c r="C63" s="4" t="s">
        <v>249</v>
      </c>
    </row>
  </sheetData>
  <sheetProtection/>
  <mergeCells count="18">
    <mergeCell ref="A15:L15"/>
    <mergeCell ref="A18:L18"/>
    <mergeCell ref="A22:L22"/>
    <mergeCell ref="A26:L26"/>
    <mergeCell ref="K3:K4"/>
    <mergeCell ref="L3:L4"/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8.87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6.875" style="4" bestFit="1" customWidth="1"/>
    <col min="22" max="16384" width="9.125" style="3" customWidth="1"/>
  </cols>
  <sheetData>
    <row r="1" spans="1:21" s="2" customFormat="1" ht="28.5" customHeight="1">
      <c r="A1" s="50" t="s">
        <v>676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</row>
    <row r="3" spans="1:21" s="1" customFormat="1" ht="12.75" customHeight="1">
      <c r="A3" s="56" t="s">
        <v>0</v>
      </c>
      <c r="B3" s="58" t="s">
        <v>6</v>
      </c>
      <c r="C3" s="58" t="s">
        <v>7</v>
      </c>
      <c r="D3" s="60" t="s">
        <v>9</v>
      </c>
      <c r="E3" s="60" t="s">
        <v>4</v>
      </c>
      <c r="F3" s="60" t="s">
        <v>8</v>
      </c>
      <c r="G3" s="60" t="s">
        <v>10</v>
      </c>
      <c r="H3" s="60"/>
      <c r="I3" s="60"/>
      <c r="J3" s="60"/>
      <c r="K3" s="60" t="s">
        <v>11</v>
      </c>
      <c r="L3" s="60"/>
      <c r="M3" s="60"/>
      <c r="N3" s="60"/>
      <c r="O3" s="60" t="s">
        <v>12</v>
      </c>
      <c r="P3" s="60"/>
      <c r="Q3" s="60"/>
      <c r="R3" s="60"/>
      <c r="S3" s="60" t="s">
        <v>1</v>
      </c>
      <c r="T3" s="60" t="s">
        <v>3</v>
      </c>
      <c r="U3" s="61" t="s">
        <v>2</v>
      </c>
    </row>
    <row r="4" spans="1:21" s="1" customFormat="1" ht="21" customHeight="1" thickBot="1">
      <c r="A4" s="57"/>
      <c r="B4" s="59"/>
      <c r="C4" s="59"/>
      <c r="D4" s="59"/>
      <c r="E4" s="59"/>
      <c r="F4" s="59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59"/>
      <c r="T4" s="59"/>
      <c r="U4" s="62"/>
    </row>
    <row r="5" spans="1:20" ht="15">
      <c r="A5" s="46" t="s">
        <v>147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1" ht="12.75">
      <c r="A6" s="6" t="s">
        <v>149</v>
      </c>
      <c r="B6" s="6" t="s">
        <v>150</v>
      </c>
      <c r="C6" s="6" t="s">
        <v>151</v>
      </c>
      <c r="D6" s="6" t="str">
        <f>"0,7283"</f>
        <v>0,7283</v>
      </c>
      <c r="E6" s="6" t="s">
        <v>31</v>
      </c>
      <c r="F6" s="6" t="s">
        <v>32</v>
      </c>
      <c r="G6" s="8" t="s">
        <v>71</v>
      </c>
      <c r="H6" s="8" t="s">
        <v>86</v>
      </c>
      <c r="I6" s="8" t="s">
        <v>77</v>
      </c>
      <c r="J6" s="7"/>
      <c r="K6" s="8" t="s">
        <v>106</v>
      </c>
      <c r="L6" s="8" t="s">
        <v>152</v>
      </c>
      <c r="M6" s="8" t="s">
        <v>153</v>
      </c>
      <c r="N6" s="7"/>
      <c r="O6" s="8" t="s">
        <v>77</v>
      </c>
      <c r="P6" s="8" t="s">
        <v>154</v>
      </c>
      <c r="Q6" s="8" t="s">
        <v>36</v>
      </c>
      <c r="R6" s="7"/>
      <c r="S6" s="6" t="str">
        <f>"297,5"</f>
        <v>297,5</v>
      </c>
      <c r="T6" s="8" t="str">
        <f>"223,3707"</f>
        <v>223,3707</v>
      </c>
      <c r="U6" s="6" t="s">
        <v>39</v>
      </c>
    </row>
    <row r="8" spans="1:20" ht="15">
      <c r="A8" s="48" t="s">
        <v>155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1" ht="12.75">
      <c r="A9" s="6" t="s">
        <v>157</v>
      </c>
      <c r="B9" s="6" t="s">
        <v>158</v>
      </c>
      <c r="C9" s="6" t="s">
        <v>159</v>
      </c>
      <c r="D9" s="6" t="str">
        <f>"0,5326"</f>
        <v>0,5326</v>
      </c>
      <c r="E9" s="6" t="s">
        <v>31</v>
      </c>
      <c r="F9" s="6" t="s">
        <v>160</v>
      </c>
      <c r="G9" s="8" t="s">
        <v>23</v>
      </c>
      <c r="H9" s="8" t="s">
        <v>121</v>
      </c>
      <c r="I9" s="8" t="s">
        <v>20</v>
      </c>
      <c r="J9" s="7"/>
      <c r="K9" s="8" t="s">
        <v>161</v>
      </c>
      <c r="L9" s="8" t="s">
        <v>162</v>
      </c>
      <c r="M9" s="7" t="s">
        <v>163</v>
      </c>
      <c r="N9" s="7"/>
      <c r="O9" s="8" t="s">
        <v>122</v>
      </c>
      <c r="P9" s="8" t="s">
        <v>21</v>
      </c>
      <c r="Q9" s="8" t="s">
        <v>164</v>
      </c>
      <c r="R9" s="7"/>
      <c r="S9" s="6" t="str">
        <f>"622,5"</f>
        <v>622,5</v>
      </c>
      <c r="T9" s="8" t="str">
        <f>"331,5435"</f>
        <v>331,5435</v>
      </c>
      <c r="U9" s="6" t="s">
        <v>165</v>
      </c>
    </row>
    <row r="11" spans="5:6" ht="15">
      <c r="E11" s="9" t="s">
        <v>40</v>
      </c>
      <c r="F11" s="45" t="s">
        <v>686</v>
      </c>
    </row>
    <row r="12" spans="5:6" ht="15">
      <c r="E12" s="9" t="s">
        <v>41</v>
      </c>
      <c r="F12" s="45" t="s">
        <v>687</v>
      </c>
    </row>
    <row r="13" spans="5:6" ht="15">
      <c r="E13" s="9" t="s">
        <v>42</v>
      </c>
      <c r="F13" s="45" t="s">
        <v>688</v>
      </c>
    </row>
    <row r="14" spans="5:6" ht="15">
      <c r="E14" s="9" t="s">
        <v>43</v>
      </c>
      <c r="F14" s="45" t="s">
        <v>689</v>
      </c>
    </row>
    <row r="15" spans="5:6" ht="15">
      <c r="E15" s="9" t="s">
        <v>43</v>
      </c>
      <c r="F15" s="45" t="s">
        <v>690</v>
      </c>
    </row>
    <row r="16" ht="15">
      <c r="E16" s="9"/>
    </row>
    <row r="17" ht="15">
      <c r="E17" s="9"/>
    </row>
    <row r="19" spans="1:2" ht="18">
      <c r="A19" s="10" t="s">
        <v>44</v>
      </c>
      <c r="B19" s="10"/>
    </row>
    <row r="20" spans="1:2" ht="15">
      <c r="A20" s="11" t="s">
        <v>125</v>
      </c>
      <c r="B20" s="11"/>
    </row>
    <row r="21" spans="1:2" ht="14.25">
      <c r="A21" s="13"/>
      <c r="B21" s="14" t="s">
        <v>166</v>
      </c>
    </row>
    <row r="22" spans="1:5" ht="15">
      <c r="A22" s="15" t="s">
        <v>47</v>
      </c>
      <c r="B22" s="15" t="s">
        <v>48</v>
      </c>
      <c r="C22" s="15" t="s">
        <v>49</v>
      </c>
      <c r="D22" s="15" t="s">
        <v>50</v>
      </c>
      <c r="E22" s="15" t="s">
        <v>51</v>
      </c>
    </row>
    <row r="23" spans="1:5" ht="12.75">
      <c r="A23" s="12" t="s">
        <v>148</v>
      </c>
      <c r="B23" s="4" t="s">
        <v>167</v>
      </c>
      <c r="C23" s="4" t="s">
        <v>168</v>
      </c>
      <c r="D23" s="4" t="s">
        <v>169</v>
      </c>
      <c r="E23" s="16" t="s">
        <v>170</v>
      </c>
    </row>
    <row r="26" spans="1:2" ht="15">
      <c r="A26" s="11" t="s">
        <v>45</v>
      </c>
      <c r="B26" s="11"/>
    </row>
    <row r="27" spans="1:2" ht="14.25">
      <c r="A27" s="13"/>
      <c r="B27" s="14" t="s">
        <v>46</v>
      </c>
    </row>
    <row r="28" spans="1:5" ht="15">
      <c r="A28" s="15" t="s">
        <v>47</v>
      </c>
      <c r="B28" s="15" t="s">
        <v>48</v>
      </c>
      <c r="C28" s="15" t="s">
        <v>49</v>
      </c>
      <c r="D28" s="15" t="s">
        <v>50</v>
      </c>
      <c r="E28" s="15" t="s">
        <v>51</v>
      </c>
    </row>
    <row r="29" spans="1:5" ht="12.75">
      <c r="A29" s="12" t="s">
        <v>156</v>
      </c>
      <c r="B29" s="4" t="s">
        <v>46</v>
      </c>
      <c r="C29" s="4" t="s">
        <v>171</v>
      </c>
      <c r="D29" s="4" t="s">
        <v>172</v>
      </c>
      <c r="E29" s="16" t="s">
        <v>173</v>
      </c>
    </row>
  </sheetData>
  <sheetProtection/>
  <mergeCells count="15">
    <mergeCell ref="A5:T5"/>
    <mergeCell ref="A8:T8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10">
      <selection activeCell="E24" sqref="E24"/>
    </sheetView>
  </sheetViews>
  <sheetFormatPr defaultColWidth="9.00390625" defaultRowHeight="12.75"/>
  <cols>
    <col min="1" max="1" width="31.875" style="4" bestFit="1" customWidth="1"/>
    <col min="2" max="2" width="27.75390625" style="4" bestFit="1" customWidth="1"/>
    <col min="3" max="3" width="64.875" style="4" bestFit="1" customWidth="1"/>
    <col min="4" max="4" width="9.25390625" style="4" bestFit="1" customWidth="1"/>
    <col min="5" max="5" width="22.75390625" style="4" bestFit="1" customWidth="1"/>
    <col min="6" max="6" width="24.1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29.00390625" style="4" bestFit="1" customWidth="1"/>
    <col min="22" max="16384" width="9.125" style="3" customWidth="1"/>
  </cols>
  <sheetData>
    <row r="1" spans="1:21" s="2" customFormat="1" ht="28.5" customHeight="1">
      <c r="A1" s="50" t="s">
        <v>677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</row>
    <row r="3" spans="1:21" s="1" customFormat="1" ht="12.75" customHeight="1">
      <c r="A3" s="56" t="s">
        <v>0</v>
      </c>
      <c r="B3" s="58" t="s">
        <v>6</v>
      </c>
      <c r="C3" s="58" t="s">
        <v>7</v>
      </c>
      <c r="D3" s="60" t="s">
        <v>9</v>
      </c>
      <c r="E3" s="60" t="s">
        <v>4</v>
      </c>
      <c r="F3" s="60" t="s">
        <v>8</v>
      </c>
      <c r="G3" s="60" t="s">
        <v>10</v>
      </c>
      <c r="H3" s="60"/>
      <c r="I3" s="60"/>
      <c r="J3" s="60"/>
      <c r="K3" s="60" t="s">
        <v>11</v>
      </c>
      <c r="L3" s="60"/>
      <c r="M3" s="60"/>
      <c r="N3" s="60"/>
      <c r="O3" s="60" t="s">
        <v>12</v>
      </c>
      <c r="P3" s="60"/>
      <c r="Q3" s="60"/>
      <c r="R3" s="60"/>
      <c r="S3" s="60" t="s">
        <v>1</v>
      </c>
      <c r="T3" s="60" t="s">
        <v>3</v>
      </c>
      <c r="U3" s="61" t="s">
        <v>2</v>
      </c>
    </row>
    <row r="4" spans="1:21" s="1" customFormat="1" ht="21" customHeight="1" thickBot="1">
      <c r="A4" s="57"/>
      <c r="B4" s="59"/>
      <c r="C4" s="59"/>
      <c r="D4" s="59"/>
      <c r="E4" s="59"/>
      <c r="F4" s="59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59"/>
      <c r="T4" s="59"/>
      <c r="U4" s="62"/>
    </row>
    <row r="5" spans="1:20" ht="15">
      <c r="A5" s="46" t="s">
        <v>64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1" ht="12.75">
      <c r="A6" s="6" t="s">
        <v>66</v>
      </c>
      <c r="B6" s="6" t="s">
        <v>67</v>
      </c>
      <c r="C6" s="6" t="s">
        <v>68</v>
      </c>
      <c r="D6" s="6" t="str">
        <f>"0,9153"</f>
        <v>0,9153</v>
      </c>
      <c r="E6" s="6" t="s">
        <v>69</v>
      </c>
      <c r="F6" s="6" t="s">
        <v>32</v>
      </c>
      <c r="G6" s="8" t="s">
        <v>70</v>
      </c>
      <c r="H6" s="7" t="s">
        <v>71</v>
      </c>
      <c r="I6" s="7" t="s">
        <v>71</v>
      </c>
      <c r="J6" s="7"/>
      <c r="K6" s="8" t="s">
        <v>72</v>
      </c>
      <c r="L6" s="8" t="s">
        <v>73</v>
      </c>
      <c r="M6" s="7" t="s">
        <v>74</v>
      </c>
      <c r="N6" s="7"/>
      <c r="O6" s="8" t="s">
        <v>75</v>
      </c>
      <c r="P6" s="8" t="s">
        <v>76</v>
      </c>
      <c r="Q6" s="8" t="s">
        <v>77</v>
      </c>
      <c r="R6" s="7"/>
      <c r="S6" s="6" t="str">
        <f>"210,0"</f>
        <v>210,0</v>
      </c>
      <c r="T6" s="8" t="str">
        <f>"192,2130"</f>
        <v>192,2130</v>
      </c>
      <c r="U6" s="6" t="s">
        <v>78</v>
      </c>
    </row>
    <row r="8" spans="1:20" ht="15">
      <c r="A8" s="48" t="s">
        <v>79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1" ht="12.75">
      <c r="A9" s="6" t="s">
        <v>81</v>
      </c>
      <c r="B9" s="6" t="s">
        <v>82</v>
      </c>
      <c r="C9" s="6" t="s">
        <v>83</v>
      </c>
      <c r="D9" s="6" t="str">
        <f>"0,8437"</f>
        <v>0,8437</v>
      </c>
      <c r="E9" s="6" t="s">
        <v>84</v>
      </c>
      <c r="F9" s="6" t="s">
        <v>85</v>
      </c>
      <c r="G9" s="8" t="s">
        <v>86</v>
      </c>
      <c r="H9" s="8" t="s">
        <v>87</v>
      </c>
      <c r="I9" s="7" t="s">
        <v>36</v>
      </c>
      <c r="J9" s="7"/>
      <c r="K9" s="7" t="s">
        <v>88</v>
      </c>
      <c r="L9" s="8" t="s">
        <v>71</v>
      </c>
      <c r="M9" s="8" t="s">
        <v>86</v>
      </c>
      <c r="N9" s="7"/>
      <c r="O9" s="8" t="s">
        <v>77</v>
      </c>
      <c r="P9" s="8" t="s">
        <v>89</v>
      </c>
      <c r="Q9" s="8" t="s">
        <v>90</v>
      </c>
      <c r="R9" s="7"/>
      <c r="S9" s="6" t="str">
        <f>"345,0"</f>
        <v>345,0</v>
      </c>
      <c r="T9" s="8" t="str">
        <f>"328,9164"</f>
        <v>328,9164</v>
      </c>
      <c r="U9" s="6" t="s">
        <v>91</v>
      </c>
    </row>
    <row r="11" spans="1:20" ht="15">
      <c r="A11" s="48" t="s">
        <v>92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1" ht="12.75">
      <c r="A12" s="17" t="s">
        <v>94</v>
      </c>
      <c r="B12" s="17" t="s">
        <v>95</v>
      </c>
      <c r="C12" s="17" t="s">
        <v>96</v>
      </c>
      <c r="D12" s="17" t="str">
        <f>"0,6517"</f>
        <v>0,6517</v>
      </c>
      <c r="E12" s="17" t="s">
        <v>84</v>
      </c>
      <c r="F12" s="17" t="s">
        <v>85</v>
      </c>
      <c r="G12" s="18" t="s">
        <v>37</v>
      </c>
      <c r="H12" s="18" t="s">
        <v>97</v>
      </c>
      <c r="I12" s="18" t="s">
        <v>98</v>
      </c>
      <c r="J12" s="19"/>
      <c r="K12" s="18" t="s">
        <v>71</v>
      </c>
      <c r="L12" s="18" t="s">
        <v>86</v>
      </c>
      <c r="M12" s="18" t="s">
        <v>77</v>
      </c>
      <c r="N12" s="19"/>
      <c r="O12" s="19" t="s">
        <v>97</v>
      </c>
      <c r="P12" s="18" t="s">
        <v>97</v>
      </c>
      <c r="Q12" s="18" t="s">
        <v>99</v>
      </c>
      <c r="R12" s="19"/>
      <c r="S12" s="17" t="str">
        <f>"415,0"</f>
        <v>415,0</v>
      </c>
      <c r="T12" s="18" t="str">
        <f>"319,1375"</f>
        <v>319,1375</v>
      </c>
      <c r="U12" s="17" t="s">
        <v>91</v>
      </c>
    </row>
    <row r="13" spans="1:21" ht="12.75">
      <c r="A13" s="20" t="s">
        <v>101</v>
      </c>
      <c r="B13" s="20" t="s">
        <v>102</v>
      </c>
      <c r="C13" s="20" t="s">
        <v>103</v>
      </c>
      <c r="D13" s="20" t="str">
        <f>"0,6287"</f>
        <v>0,6287</v>
      </c>
      <c r="E13" s="20" t="s">
        <v>84</v>
      </c>
      <c r="F13" s="20" t="s">
        <v>85</v>
      </c>
      <c r="G13" s="21" t="s">
        <v>86</v>
      </c>
      <c r="H13" s="21" t="s">
        <v>77</v>
      </c>
      <c r="I13" s="21" t="s">
        <v>104</v>
      </c>
      <c r="J13" s="22"/>
      <c r="K13" s="21" t="s">
        <v>105</v>
      </c>
      <c r="L13" s="21" t="s">
        <v>106</v>
      </c>
      <c r="M13" s="22" t="s">
        <v>71</v>
      </c>
      <c r="N13" s="22"/>
      <c r="O13" s="21" t="s">
        <v>36</v>
      </c>
      <c r="P13" s="21" t="s">
        <v>97</v>
      </c>
      <c r="Q13" s="21" t="s">
        <v>98</v>
      </c>
      <c r="R13" s="22"/>
      <c r="S13" s="20" t="str">
        <f>"317,5"</f>
        <v>317,5</v>
      </c>
      <c r="T13" s="21" t="str">
        <f>"245,5231"</f>
        <v>245,5231</v>
      </c>
      <c r="U13" s="20" t="s">
        <v>91</v>
      </c>
    </row>
    <row r="14" spans="1:21" ht="12.75">
      <c r="A14" s="23" t="s">
        <v>108</v>
      </c>
      <c r="B14" s="23" t="s">
        <v>109</v>
      </c>
      <c r="C14" s="23" t="s">
        <v>110</v>
      </c>
      <c r="D14" s="23" t="str">
        <f>"0,6448"</f>
        <v>0,6448</v>
      </c>
      <c r="E14" s="23" t="s">
        <v>84</v>
      </c>
      <c r="F14" s="23" t="s">
        <v>85</v>
      </c>
      <c r="G14" s="24" t="s">
        <v>86</v>
      </c>
      <c r="H14" s="24" t="s">
        <v>77</v>
      </c>
      <c r="I14" s="24" t="s">
        <v>111</v>
      </c>
      <c r="J14" s="25"/>
      <c r="K14" s="24" t="s">
        <v>106</v>
      </c>
      <c r="L14" s="24" t="s">
        <v>70</v>
      </c>
      <c r="M14" s="24" t="s">
        <v>88</v>
      </c>
      <c r="N14" s="25"/>
      <c r="O14" s="24" t="s">
        <v>77</v>
      </c>
      <c r="P14" s="24" t="s">
        <v>112</v>
      </c>
      <c r="Q14" s="24" t="s">
        <v>37</v>
      </c>
      <c r="R14" s="25"/>
      <c r="S14" s="23" t="str">
        <f>"310,0"</f>
        <v>310,0</v>
      </c>
      <c r="T14" s="24" t="str">
        <f>"245,8622"</f>
        <v>245,8622</v>
      </c>
      <c r="U14" s="23" t="s">
        <v>91</v>
      </c>
    </row>
    <row r="16" spans="1:20" ht="15">
      <c r="A16" s="48" t="s">
        <v>13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1:21" ht="12.75">
      <c r="A17" s="6" t="s">
        <v>114</v>
      </c>
      <c r="B17" s="6" t="s">
        <v>115</v>
      </c>
      <c r="C17" s="6" t="s">
        <v>116</v>
      </c>
      <c r="D17" s="6" t="str">
        <f>"0,5411"</f>
        <v>0,5411</v>
      </c>
      <c r="E17" s="6" t="s">
        <v>117</v>
      </c>
      <c r="F17" s="6" t="s">
        <v>118</v>
      </c>
      <c r="G17" s="8" t="s">
        <v>119</v>
      </c>
      <c r="H17" s="8" t="s">
        <v>120</v>
      </c>
      <c r="I17" s="8" t="s">
        <v>121</v>
      </c>
      <c r="J17" s="7"/>
      <c r="K17" s="8" t="s">
        <v>37</v>
      </c>
      <c r="L17" s="8" t="s">
        <v>97</v>
      </c>
      <c r="M17" s="8" t="s">
        <v>90</v>
      </c>
      <c r="N17" s="7"/>
      <c r="O17" s="8" t="s">
        <v>121</v>
      </c>
      <c r="P17" s="8" t="s">
        <v>122</v>
      </c>
      <c r="Q17" s="7" t="s">
        <v>123</v>
      </c>
      <c r="R17" s="7"/>
      <c r="S17" s="6" t="str">
        <f>"565,0"</f>
        <v>565,0</v>
      </c>
      <c r="T17" s="8" t="str">
        <f>"305,7215"</f>
        <v>305,7215</v>
      </c>
      <c r="U17" s="6" t="s">
        <v>124</v>
      </c>
    </row>
    <row r="19" spans="5:6" ht="15">
      <c r="E19" s="9" t="s">
        <v>40</v>
      </c>
      <c r="F19" s="45" t="s">
        <v>686</v>
      </c>
    </row>
    <row r="20" spans="5:6" ht="15">
      <c r="E20" s="9" t="s">
        <v>41</v>
      </c>
      <c r="F20" s="45" t="s">
        <v>687</v>
      </c>
    </row>
    <row r="21" spans="5:6" ht="15">
      <c r="E21" s="9" t="s">
        <v>42</v>
      </c>
      <c r="F21" s="45" t="s">
        <v>688</v>
      </c>
    </row>
    <row r="22" spans="5:6" ht="15">
      <c r="E22" s="9" t="s">
        <v>43</v>
      </c>
      <c r="F22" s="45" t="s">
        <v>689</v>
      </c>
    </row>
    <row r="23" spans="5:6" ht="15">
      <c r="E23" s="9" t="s">
        <v>43</v>
      </c>
      <c r="F23" s="45" t="s">
        <v>690</v>
      </c>
    </row>
    <row r="24" ht="15">
      <c r="E24" s="9"/>
    </row>
    <row r="25" ht="15">
      <c r="E25" s="9"/>
    </row>
    <row r="27" spans="1:2" ht="18">
      <c r="A27" s="10" t="s">
        <v>44</v>
      </c>
      <c r="B27" s="10"/>
    </row>
    <row r="28" spans="1:2" ht="15">
      <c r="A28" s="11" t="s">
        <v>125</v>
      </c>
      <c r="B28" s="11"/>
    </row>
    <row r="29" spans="1:2" ht="14.25">
      <c r="A29" s="13"/>
      <c r="B29" s="14" t="s">
        <v>46</v>
      </c>
    </row>
    <row r="30" spans="1:5" ht="15">
      <c r="A30" s="15" t="s">
        <v>47</v>
      </c>
      <c r="B30" s="15" t="s">
        <v>48</v>
      </c>
      <c r="C30" s="15" t="s">
        <v>49</v>
      </c>
      <c r="D30" s="15" t="s">
        <v>50</v>
      </c>
      <c r="E30" s="15" t="s">
        <v>51</v>
      </c>
    </row>
    <row r="31" spans="1:5" ht="12.75">
      <c r="A31" s="12" t="s">
        <v>65</v>
      </c>
      <c r="B31" s="4" t="s">
        <v>46</v>
      </c>
      <c r="C31" s="4" t="s">
        <v>126</v>
      </c>
      <c r="D31" s="4" t="s">
        <v>20</v>
      </c>
      <c r="E31" s="16" t="s">
        <v>127</v>
      </c>
    </row>
    <row r="34" spans="1:2" ht="15">
      <c r="A34" s="11" t="s">
        <v>45</v>
      </c>
      <c r="B34" s="11"/>
    </row>
    <row r="35" spans="1:2" ht="14.25">
      <c r="A35" s="13"/>
      <c r="B35" s="14" t="s">
        <v>128</v>
      </c>
    </row>
    <row r="36" spans="1:5" ht="15">
      <c r="A36" s="15" t="s">
        <v>47</v>
      </c>
      <c r="B36" s="15" t="s">
        <v>48</v>
      </c>
      <c r="C36" s="15" t="s">
        <v>49</v>
      </c>
      <c r="D36" s="15" t="s">
        <v>50</v>
      </c>
      <c r="E36" s="15" t="s">
        <v>51</v>
      </c>
    </row>
    <row r="37" spans="1:5" ht="12.75">
      <c r="A37" s="12" t="s">
        <v>80</v>
      </c>
      <c r="B37" s="4" t="s">
        <v>129</v>
      </c>
      <c r="C37" s="4" t="s">
        <v>130</v>
      </c>
      <c r="D37" s="4" t="s">
        <v>131</v>
      </c>
      <c r="E37" s="16" t="s">
        <v>132</v>
      </c>
    </row>
    <row r="38" spans="1:5" ht="12.75">
      <c r="A38" s="12" t="s">
        <v>93</v>
      </c>
      <c r="B38" s="4" t="s">
        <v>133</v>
      </c>
      <c r="C38" s="4" t="s">
        <v>134</v>
      </c>
      <c r="D38" s="4" t="s">
        <v>135</v>
      </c>
      <c r="E38" s="16" t="s">
        <v>136</v>
      </c>
    </row>
    <row r="39" spans="1:5" ht="12.75">
      <c r="A39" s="12" t="s">
        <v>107</v>
      </c>
      <c r="B39" s="4" t="s">
        <v>133</v>
      </c>
      <c r="C39" s="4" t="s">
        <v>134</v>
      </c>
      <c r="D39" s="4" t="s">
        <v>137</v>
      </c>
      <c r="E39" s="16" t="s">
        <v>138</v>
      </c>
    </row>
    <row r="40" spans="1:5" ht="12.75">
      <c r="A40" s="12" t="s">
        <v>100</v>
      </c>
      <c r="B40" s="4" t="s">
        <v>133</v>
      </c>
      <c r="C40" s="4" t="s">
        <v>134</v>
      </c>
      <c r="D40" s="4" t="s">
        <v>139</v>
      </c>
      <c r="E40" s="16" t="s">
        <v>140</v>
      </c>
    </row>
    <row r="42" spans="1:2" ht="14.25">
      <c r="A42" s="13"/>
      <c r="B42" s="14" t="s">
        <v>46</v>
      </c>
    </row>
    <row r="43" spans="1:5" ht="15">
      <c r="A43" s="15" t="s">
        <v>47</v>
      </c>
      <c r="B43" s="15" t="s">
        <v>48</v>
      </c>
      <c r="C43" s="15" t="s">
        <v>49</v>
      </c>
      <c r="D43" s="15" t="s">
        <v>50</v>
      </c>
      <c r="E43" s="15" t="s">
        <v>51</v>
      </c>
    </row>
    <row r="44" spans="1:5" ht="12.75">
      <c r="A44" s="12" t="s">
        <v>113</v>
      </c>
      <c r="B44" s="4" t="s">
        <v>46</v>
      </c>
      <c r="C44" s="4" t="s">
        <v>52</v>
      </c>
      <c r="D44" s="4" t="s">
        <v>141</v>
      </c>
      <c r="E44" s="16" t="s">
        <v>142</v>
      </c>
    </row>
    <row r="49" spans="1:2" ht="18">
      <c r="A49" s="10" t="s">
        <v>58</v>
      </c>
      <c r="B49" s="10"/>
    </row>
    <row r="50" spans="1:3" ht="15">
      <c r="A50" s="15" t="s">
        <v>59</v>
      </c>
      <c r="B50" s="15" t="s">
        <v>60</v>
      </c>
      <c r="C50" s="15" t="s">
        <v>61</v>
      </c>
    </row>
    <row r="51" spans="1:3" ht="12.75">
      <c r="A51" s="4" t="s">
        <v>84</v>
      </c>
      <c r="B51" s="4" t="s">
        <v>143</v>
      </c>
      <c r="C51" s="4" t="s">
        <v>144</v>
      </c>
    </row>
    <row r="52" spans="1:3" ht="12.75">
      <c r="A52" s="4" t="s">
        <v>117</v>
      </c>
      <c r="B52" s="4" t="s">
        <v>62</v>
      </c>
      <c r="C52" s="4" t="s">
        <v>145</v>
      </c>
    </row>
    <row r="53" spans="1:3" ht="12.75">
      <c r="A53" s="4" t="s">
        <v>69</v>
      </c>
      <c r="B53" s="4" t="s">
        <v>62</v>
      </c>
      <c r="C53" s="4" t="s">
        <v>146</v>
      </c>
    </row>
  </sheetData>
  <sheetProtection/>
  <mergeCells count="17">
    <mergeCell ref="A16:T16"/>
    <mergeCell ref="S3:S4"/>
    <mergeCell ref="T3:T4"/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22.375" style="4" bestFit="1" customWidth="1"/>
    <col min="4" max="4" width="9.25390625" style="4" bestFit="1" customWidth="1"/>
    <col min="5" max="5" width="22.75390625" style="4" bestFit="1" customWidth="1"/>
    <col min="6" max="6" width="24.1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27.00390625" style="4" bestFit="1" customWidth="1"/>
    <col min="22" max="16384" width="9.125" style="3" customWidth="1"/>
  </cols>
  <sheetData>
    <row r="1" spans="1:21" s="2" customFormat="1" ht="28.5" customHeight="1">
      <c r="A1" s="50" t="s">
        <v>678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</row>
    <row r="3" spans="1:21" s="1" customFormat="1" ht="12.75" customHeight="1">
      <c r="A3" s="56" t="s">
        <v>0</v>
      </c>
      <c r="B3" s="58" t="s">
        <v>6</v>
      </c>
      <c r="C3" s="58" t="s">
        <v>7</v>
      </c>
      <c r="D3" s="60" t="s">
        <v>9</v>
      </c>
      <c r="E3" s="60" t="s">
        <v>4</v>
      </c>
      <c r="F3" s="60" t="s">
        <v>8</v>
      </c>
      <c r="G3" s="60" t="s">
        <v>10</v>
      </c>
      <c r="H3" s="60"/>
      <c r="I3" s="60"/>
      <c r="J3" s="60"/>
      <c r="K3" s="60" t="s">
        <v>11</v>
      </c>
      <c r="L3" s="60"/>
      <c r="M3" s="60"/>
      <c r="N3" s="60"/>
      <c r="O3" s="60" t="s">
        <v>12</v>
      </c>
      <c r="P3" s="60"/>
      <c r="Q3" s="60"/>
      <c r="R3" s="60"/>
      <c r="S3" s="60" t="s">
        <v>1</v>
      </c>
      <c r="T3" s="60" t="s">
        <v>3</v>
      </c>
      <c r="U3" s="61" t="s">
        <v>2</v>
      </c>
    </row>
    <row r="4" spans="1:21" s="1" customFormat="1" ht="21" customHeight="1" thickBot="1">
      <c r="A4" s="57"/>
      <c r="B4" s="59"/>
      <c r="C4" s="59"/>
      <c r="D4" s="59"/>
      <c r="E4" s="59"/>
      <c r="F4" s="59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59"/>
      <c r="T4" s="59"/>
      <c r="U4" s="62"/>
    </row>
    <row r="5" spans="1:20" ht="15">
      <c r="A5" s="46" t="s">
        <v>13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1" ht="12.75">
      <c r="A6" s="6" t="s">
        <v>15</v>
      </c>
      <c r="B6" s="6" t="s">
        <v>16</v>
      </c>
      <c r="C6" s="6" t="s">
        <v>17</v>
      </c>
      <c r="D6" s="6" t="str">
        <f>"0,5396"</f>
        <v>0,5396</v>
      </c>
      <c r="E6" s="6" t="s">
        <v>18</v>
      </c>
      <c r="F6" s="6" t="s">
        <v>19</v>
      </c>
      <c r="G6" s="7" t="s">
        <v>20</v>
      </c>
      <c r="H6" s="8" t="s">
        <v>20</v>
      </c>
      <c r="I6" s="8" t="s">
        <v>21</v>
      </c>
      <c r="J6" s="7"/>
      <c r="K6" s="8" t="s">
        <v>22</v>
      </c>
      <c r="L6" s="8" t="s">
        <v>23</v>
      </c>
      <c r="M6" s="7" t="s">
        <v>24</v>
      </c>
      <c r="N6" s="7"/>
      <c r="O6" s="8" t="s">
        <v>20</v>
      </c>
      <c r="P6" s="7" t="s">
        <v>21</v>
      </c>
      <c r="Q6" s="7" t="s">
        <v>21</v>
      </c>
      <c r="R6" s="7"/>
      <c r="S6" s="6" t="str">
        <f>"625,0"</f>
        <v>625,0</v>
      </c>
      <c r="T6" s="8" t="str">
        <f>"337,2500"</f>
        <v>337,2500</v>
      </c>
      <c r="U6" s="6" t="s">
        <v>25</v>
      </c>
    </row>
    <row r="8" spans="1:20" ht="15">
      <c r="A8" s="48" t="s">
        <v>26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1" ht="12.75">
      <c r="A9" s="6" t="s">
        <v>28</v>
      </c>
      <c r="B9" s="6" t="s">
        <v>29</v>
      </c>
      <c r="C9" s="6" t="s">
        <v>30</v>
      </c>
      <c r="D9" s="6" t="str">
        <f>"0,4762"</f>
        <v>0,4762</v>
      </c>
      <c r="E9" s="6" t="s">
        <v>31</v>
      </c>
      <c r="F9" s="6" t="s">
        <v>32</v>
      </c>
      <c r="G9" s="8" t="s">
        <v>33</v>
      </c>
      <c r="H9" s="8" t="s">
        <v>34</v>
      </c>
      <c r="I9" s="8" t="s">
        <v>35</v>
      </c>
      <c r="J9" s="7"/>
      <c r="K9" s="8" t="s">
        <v>36</v>
      </c>
      <c r="L9" s="8" t="s">
        <v>37</v>
      </c>
      <c r="M9" s="8" t="s">
        <v>38</v>
      </c>
      <c r="N9" s="7"/>
      <c r="O9" s="8" t="s">
        <v>33</v>
      </c>
      <c r="P9" s="8" t="s">
        <v>34</v>
      </c>
      <c r="Q9" s="8" t="s">
        <v>35</v>
      </c>
      <c r="R9" s="7"/>
      <c r="S9" s="6" t="str">
        <f>"667,5"</f>
        <v>667,5</v>
      </c>
      <c r="T9" s="8" t="str">
        <f>"317,8702"</f>
        <v>317,8702</v>
      </c>
      <c r="U9" s="6" t="s">
        <v>39</v>
      </c>
    </row>
    <row r="11" spans="5:6" ht="15">
      <c r="E11" s="9" t="s">
        <v>40</v>
      </c>
      <c r="F11" s="45" t="s">
        <v>686</v>
      </c>
    </row>
    <row r="12" spans="5:6" ht="15">
      <c r="E12" s="9" t="s">
        <v>41</v>
      </c>
      <c r="F12" s="45" t="s">
        <v>687</v>
      </c>
    </row>
    <row r="13" spans="5:6" ht="15">
      <c r="E13" s="9" t="s">
        <v>42</v>
      </c>
      <c r="F13" s="45" t="s">
        <v>688</v>
      </c>
    </row>
    <row r="14" spans="5:6" ht="15">
      <c r="E14" s="9" t="s">
        <v>43</v>
      </c>
      <c r="F14" s="45" t="s">
        <v>689</v>
      </c>
    </row>
    <row r="15" spans="5:6" ht="15">
      <c r="E15" s="9" t="s">
        <v>43</v>
      </c>
      <c r="F15" s="45" t="s">
        <v>690</v>
      </c>
    </row>
    <row r="16" ht="15">
      <c r="E16" s="9"/>
    </row>
    <row r="17" ht="15">
      <c r="E17" s="9"/>
    </row>
    <row r="19" spans="1:2" ht="18">
      <c r="A19" s="10" t="s">
        <v>44</v>
      </c>
      <c r="B19" s="10"/>
    </row>
    <row r="20" spans="1:2" ht="15">
      <c r="A20" s="11" t="s">
        <v>45</v>
      </c>
      <c r="B20" s="11"/>
    </row>
    <row r="21" spans="1:2" ht="14.25">
      <c r="A21" s="13"/>
      <c r="B21" s="14" t="s">
        <v>46</v>
      </c>
    </row>
    <row r="22" spans="1:5" ht="15">
      <c r="A22" s="15" t="s">
        <v>47</v>
      </c>
      <c r="B22" s="15" t="s">
        <v>48</v>
      </c>
      <c r="C22" s="15" t="s">
        <v>49</v>
      </c>
      <c r="D22" s="15" t="s">
        <v>50</v>
      </c>
      <c r="E22" s="15" t="s">
        <v>51</v>
      </c>
    </row>
    <row r="23" spans="1:5" ht="12.75">
      <c r="A23" s="12" t="s">
        <v>14</v>
      </c>
      <c r="B23" s="4" t="s">
        <v>46</v>
      </c>
      <c r="C23" s="4" t="s">
        <v>52</v>
      </c>
      <c r="D23" s="4" t="s">
        <v>53</v>
      </c>
      <c r="E23" s="16" t="s">
        <v>54</v>
      </c>
    </row>
    <row r="24" spans="1:5" ht="12.75">
      <c r="A24" s="12" t="s">
        <v>27</v>
      </c>
      <c r="B24" s="4" t="s">
        <v>46</v>
      </c>
      <c r="C24" s="4" t="s">
        <v>55</v>
      </c>
      <c r="D24" s="4" t="s">
        <v>56</v>
      </c>
      <c r="E24" s="16" t="s">
        <v>57</v>
      </c>
    </row>
    <row r="29" spans="1:2" ht="18">
      <c r="A29" s="10" t="s">
        <v>58</v>
      </c>
      <c r="B29" s="10"/>
    </row>
    <row r="30" spans="1:3" ht="15">
      <c r="A30" s="15" t="s">
        <v>59</v>
      </c>
      <c r="B30" s="15" t="s">
        <v>60</v>
      </c>
      <c r="C30" s="15" t="s">
        <v>61</v>
      </c>
    </row>
    <row r="31" spans="1:3" ht="12.75">
      <c r="A31" s="4" t="s">
        <v>18</v>
      </c>
      <c r="B31" s="4" t="s">
        <v>62</v>
      </c>
      <c r="C31" s="4" t="s">
        <v>63</v>
      </c>
    </row>
  </sheetData>
  <sheetProtection/>
  <mergeCells count="15">
    <mergeCell ref="A5:T5"/>
    <mergeCell ref="A8:T8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6.87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8" width="4.625" style="3" bestFit="1" customWidth="1"/>
    <col min="9" max="9" width="5.625" style="3" bestFit="1" customWidth="1"/>
    <col min="10" max="10" width="4.875" style="3" bestFit="1" customWidth="1"/>
    <col min="11" max="13" width="4.625" style="3" bestFit="1" customWidth="1"/>
    <col min="14" max="14" width="4.875" style="3" bestFit="1" customWidth="1"/>
    <col min="15" max="15" width="7.875" style="4" bestFit="1" customWidth="1"/>
    <col min="16" max="16" width="7.625" style="3" bestFit="1" customWidth="1"/>
    <col min="17" max="17" width="16.375" style="4" bestFit="1" customWidth="1"/>
    <col min="18" max="16384" width="9.125" style="3" customWidth="1"/>
  </cols>
  <sheetData>
    <row r="1" spans="1:17" s="2" customFormat="1" ht="28.5" customHeight="1">
      <c r="A1" s="50" t="s">
        <v>655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s="1" customFormat="1" ht="12.75" customHeight="1">
      <c r="A3" s="56" t="s">
        <v>0</v>
      </c>
      <c r="B3" s="58" t="s">
        <v>6</v>
      </c>
      <c r="C3" s="58" t="s">
        <v>7</v>
      </c>
      <c r="D3" s="60" t="s">
        <v>9</v>
      </c>
      <c r="E3" s="60" t="s">
        <v>4</v>
      </c>
      <c r="F3" s="60" t="s">
        <v>8</v>
      </c>
      <c r="G3" s="60" t="s">
        <v>605</v>
      </c>
      <c r="H3" s="60"/>
      <c r="I3" s="60"/>
      <c r="J3" s="60"/>
      <c r="K3" s="60" t="s">
        <v>607</v>
      </c>
      <c r="L3" s="60"/>
      <c r="M3" s="60"/>
      <c r="N3" s="60"/>
      <c r="O3" s="60" t="s">
        <v>1</v>
      </c>
      <c r="P3" s="60" t="s">
        <v>3</v>
      </c>
      <c r="Q3" s="61" t="s">
        <v>2</v>
      </c>
    </row>
    <row r="4" spans="1:17" s="1" customFormat="1" ht="21" customHeight="1" thickBot="1">
      <c r="A4" s="57"/>
      <c r="B4" s="59"/>
      <c r="C4" s="59"/>
      <c r="D4" s="59"/>
      <c r="E4" s="59"/>
      <c r="F4" s="59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9"/>
      <c r="P4" s="59"/>
      <c r="Q4" s="62"/>
    </row>
    <row r="5" spans="1:16" ht="15">
      <c r="A5" s="46" t="s">
        <v>147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7" ht="12.75">
      <c r="A6" s="6" t="s">
        <v>609</v>
      </c>
      <c r="B6" s="6" t="s">
        <v>610</v>
      </c>
      <c r="C6" s="6" t="s">
        <v>611</v>
      </c>
      <c r="D6" s="6" t="str">
        <f>"0,6645"</f>
        <v>0,6645</v>
      </c>
      <c r="E6" s="6" t="s">
        <v>179</v>
      </c>
      <c r="F6" s="6" t="s">
        <v>184</v>
      </c>
      <c r="G6" s="8" t="s">
        <v>289</v>
      </c>
      <c r="H6" s="8" t="s">
        <v>290</v>
      </c>
      <c r="I6" s="8" t="s">
        <v>106</v>
      </c>
      <c r="J6" s="7"/>
      <c r="K6" s="8" t="s">
        <v>612</v>
      </c>
      <c r="L6" s="8" t="s">
        <v>289</v>
      </c>
      <c r="M6" s="8" t="s">
        <v>105</v>
      </c>
      <c r="N6" s="7"/>
      <c r="O6" s="6" t="str">
        <f>"125,0"</f>
        <v>125,0</v>
      </c>
      <c r="P6" s="8" t="str">
        <f>"83,0625"</f>
        <v>83,0625</v>
      </c>
      <c r="Q6" s="6" t="s">
        <v>613</v>
      </c>
    </row>
    <row r="8" spans="1:16" ht="15">
      <c r="A8" s="48" t="s">
        <v>13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7" ht="12.75">
      <c r="A9" s="17" t="s">
        <v>626</v>
      </c>
      <c r="B9" s="17" t="s">
        <v>257</v>
      </c>
      <c r="C9" s="17" t="s">
        <v>258</v>
      </c>
      <c r="D9" s="17" t="str">
        <f>"0,5429"</f>
        <v>0,5429</v>
      </c>
      <c r="E9" s="17" t="s">
        <v>69</v>
      </c>
      <c r="F9" s="17" t="s">
        <v>32</v>
      </c>
      <c r="G9" s="18" t="s">
        <v>88</v>
      </c>
      <c r="H9" s="18" t="s">
        <v>75</v>
      </c>
      <c r="I9" s="18" t="s">
        <v>77</v>
      </c>
      <c r="J9" s="19"/>
      <c r="K9" s="18" t="s">
        <v>106</v>
      </c>
      <c r="L9" s="18" t="s">
        <v>70</v>
      </c>
      <c r="M9" s="19" t="s">
        <v>152</v>
      </c>
      <c r="N9" s="19"/>
      <c r="O9" s="17" t="str">
        <f>"170,0"</f>
        <v>170,0</v>
      </c>
      <c r="P9" s="18" t="str">
        <f>"92,2930"</f>
        <v>92,2930</v>
      </c>
      <c r="Q9" s="17" t="s">
        <v>208</v>
      </c>
    </row>
    <row r="10" spans="1:17" ht="12.75">
      <c r="A10" s="23" t="s">
        <v>631</v>
      </c>
      <c r="B10" s="23" t="s">
        <v>115</v>
      </c>
      <c r="C10" s="23" t="s">
        <v>116</v>
      </c>
      <c r="D10" s="23" t="str">
        <f>"0,5411"</f>
        <v>0,5411</v>
      </c>
      <c r="E10" s="23" t="s">
        <v>117</v>
      </c>
      <c r="F10" s="23" t="s">
        <v>118</v>
      </c>
      <c r="G10" s="24" t="s">
        <v>71</v>
      </c>
      <c r="H10" s="25" t="s">
        <v>86</v>
      </c>
      <c r="I10" s="24" t="s">
        <v>86</v>
      </c>
      <c r="J10" s="25"/>
      <c r="K10" s="24" t="s">
        <v>73</v>
      </c>
      <c r="L10" s="24" t="s">
        <v>281</v>
      </c>
      <c r="M10" s="24" t="s">
        <v>106</v>
      </c>
      <c r="N10" s="25"/>
      <c r="O10" s="23" t="str">
        <f>"155,0"</f>
        <v>155,0</v>
      </c>
      <c r="P10" s="24" t="str">
        <f>"83,8705"</f>
        <v>83,8705</v>
      </c>
      <c r="Q10" s="23" t="s">
        <v>124</v>
      </c>
    </row>
    <row r="12" spans="5:6" ht="15">
      <c r="E12" s="9" t="s">
        <v>40</v>
      </c>
      <c r="F12" s="45" t="s">
        <v>686</v>
      </c>
    </row>
    <row r="13" spans="5:6" ht="15">
      <c r="E13" s="9" t="s">
        <v>41</v>
      </c>
      <c r="F13" s="45" t="s">
        <v>687</v>
      </c>
    </row>
    <row r="14" spans="5:6" ht="15">
      <c r="E14" s="9" t="s">
        <v>42</v>
      </c>
      <c r="F14" s="45" t="s">
        <v>688</v>
      </c>
    </row>
    <row r="15" spans="5:6" ht="15">
      <c r="E15" s="9" t="s">
        <v>43</v>
      </c>
      <c r="F15" s="45" t="s">
        <v>689</v>
      </c>
    </row>
    <row r="16" spans="5:6" ht="15">
      <c r="E16" s="9" t="s">
        <v>43</v>
      </c>
      <c r="F16" s="45" t="s">
        <v>690</v>
      </c>
    </row>
    <row r="17" ht="15">
      <c r="E17" s="9"/>
    </row>
    <row r="18" ht="15">
      <c r="E18" s="9"/>
    </row>
    <row r="20" spans="1:2" ht="18">
      <c r="A20" s="10" t="s">
        <v>44</v>
      </c>
      <c r="B20" s="10"/>
    </row>
    <row r="21" spans="1:2" ht="15">
      <c r="A21" s="11" t="s">
        <v>45</v>
      </c>
      <c r="B21" s="11"/>
    </row>
    <row r="22" spans="1:2" ht="14.25">
      <c r="A22" s="13"/>
      <c r="B22" s="14" t="s">
        <v>46</v>
      </c>
    </row>
    <row r="23" spans="1:5" ht="15">
      <c r="A23" s="15" t="s">
        <v>47</v>
      </c>
      <c r="B23" s="15" t="s">
        <v>48</v>
      </c>
      <c r="C23" s="15" t="s">
        <v>49</v>
      </c>
      <c r="D23" s="15" t="s">
        <v>50</v>
      </c>
      <c r="E23" s="15" t="s">
        <v>51</v>
      </c>
    </row>
    <row r="24" spans="1:5" ht="12.75">
      <c r="A24" s="12" t="s">
        <v>255</v>
      </c>
      <c r="B24" s="4" t="s">
        <v>46</v>
      </c>
      <c r="C24" s="4" t="s">
        <v>52</v>
      </c>
      <c r="D24" s="4" t="s">
        <v>22</v>
      </c>
      <c r="E24" s="16" t="s">
        <v>632</v>
      </c>
    </row>
    <row r="25" spans="1:5" ht="12.75">
      <c r="A25" s="12" t="s">
        <v>113</v>
      </c>
      <c r="B25" s="4" t="s">
        <v>46</v>
      </c>
      <c r="C25" s="4" t="s">
        <v>52</v>
      </c>
      <c r="D25" s="4" t="s">
        <v>207</v>
      </c>
      <c r="E25" s="16" t="s">
        <v>633</v>
      </c>
    </row>
    <row r="26" spans="1:5" ht="12.75">
      <c r="A26" s="12" t="s">
        <v>608</v>
      </c>
      <c r="B26" s="4" t="s">
        <v>46</v>
      </c>
      <c r="C26" s="4" t="s">
        <v>168</v>
      </c>
      <c r="D26" s="4" t="s">
        <v>89</v>
      </c>
      <c r="E26" s="16" t="s">
        <v>634</v>
      </c>
    </row>
    <row r="31" spans="1:2" ht="18">
      <c r="A31" s="10" t="s">
        <v>58</v>
      </c>
      <c r="B31" s="10"/>
    </row>
    <row r="32" spans="1:3" ht="15">
      <c r="A32" s="15" t="s">
        <v>59</v>
      </c>
      <c r="B32" s="15" t="s">
        <v>60</v>
      </c>
      <c r="C32" s="15" t="s">
        <v>61</v>
      </c>
    </row>
    <row r="33" spans="1:3" ht="12.75">
      <c r="A33" s="4" t="s">
        <v>69</v>
      </c>
      <c r="B33" s="4" t="s">
        <v>62</v>
      </c>
      <c r="C33" s="4" t="s">
        <v>266</v>
      </c>
    </row>
    <row r="34" spans="1:3" ht="12.75">
      <c r="A34" s="4" t="s">
        <v>179</v>
      </c>
      <c r="B34" s="4" t="s">
        <v>62</v>
      </c>
      <c r="C34" s="4" t="s">
        <v>635</v>
      </c>
    </row>
    <row r="35" spans="1:3" ht="12.75">
      <c r="A35" s="4" t="s">
        <v>117</v>
      </c>
      <c r="B35" s="4" t="s">
        <v>265</v>
      </c>
      <c r="C35" s="4" t="s">
        <v>145</v>
      </c>
    </row>
  </sheetData>
  <sheetProtection/>
  <mergeCells count="14">
    <mergeCell ref="A5:P5"/>
    <mergeCell ref="A8:P8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5.875" style="4" bestFit="1" customWidth="1"/>
    <col min="4" max="4" width="9.25390625" style="4" bestFit="1" customWidth="1"/>
    <col min="5" max="5" width="22.75390625" style="4" bestFit="1" customWidth="1"/>
    <col min="6" max="6" width="29.003906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6.375" style="4" bestFit="1" customWidth="1"/>
    <col min="14" max="16384" width="9.125" style="3" customWidth="1"/>
  </cols>
  <sheetData>
    <row r="1" spans="1:13" s="2" customFormat="1" ht="28.5" customHeight="1">
      <c r="A1" s="50" t="s">
        <v>656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6</v>
      </c>
      <c r="C3" s="58" t="s">
        <v>7</v>
      </c>
      <c r="D3" s="60" t="s">
        <v>9</v>
      </c>
      <c r="E3" s="60" t="s">
        <v>4</v>
      </c>
      <c r="F3" s="60" t="s">
        <v>8</v>
      </c>
      <c r="G3" s="60" t="s">
        <v>607</v>
      </c>
      <c r="H3" s="60"/>
      <c r="I3" s="60"/>
      <c r="J3" s="60"/>
      <c r="K3" s="60" t="s">
        <v>250</v>
      </c>
      <c r="L3" s="60" t="s">
        <v>3</v>
      </c>
      <c r="M3" s="61" t="s">
        <v>2</v>
      </c>
    </row>
    <row r="4" spans="1:13" s="1" customFormat="1" ht="21" customHeight="1" thickBot="1">
      <c r="A4" s="57"/>
      <c r="B4" s="59"/>
      <c r="C4" s="59"/>
      <c r="D4" s="59"/>
      <c r="E4" s="59"/>
      <c r="F4" s="59"/>
      <c r="G4" s="5">
        <v>1</v>
      </c>
      <c r="H4" s="5">
        <v>2</v>
      </c>
      <c r="I4" s="5">
        <v>3</v>
      </c>
      <c r="J4" s="5" t="s">
        <v>5</v>
      </c>
      <c r="K4" s="59"/>
      <c r="L4" s="59"/>
      <c r="M4" s="62"/>
    </row>
    <row r="5" spans="1:12" ht="15">
      <c r="A5" s="46" t="s">
        <v>196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6" t="s">
        <v>426</v>
      </c>
      <c r="B6" s="6" t="s">
        <v>427</v>
      </c>
      <c r="C6" s="6" t="s">
        <v>428</v>
      </c>
      <c r="D6" s="6" t="str">
        <f>"0,5883"</f>
        <v>0,5883</v>
      </c>
      <c r="E6" s="6" t="s">
        <v>429</v>
      </c>
      <c r="F6" s="6" t="s">
        <v>430</v>
      </c>
      <c r="G6" s="8" t="s">
        <v>88</v>
      </c>
      <c r="H6" s="8" t="s">
        <v>71</v>
      </c>
      <c r="I6" s="8" t="s">
        <v>75</v>
      </c>
      <c r="J6" s="7" t="s">
        <v>86</v>
      </c>
      <c r="K6" s="6" t="str">
        <f>"85,0"</f>
        <v>85,0</v>
      </c>
      <c r="L6" s="8" t="str">
        <f>"52,4058"</f>
        <v>52,4058</v>
      </c>
      <c r="M6" s="6" t="s">
        <v>124</v>
      </c>
    </row>
    <row r="8" spans="1:12" ht="15">
      <c r="A8" s="48" t="s">
        <v>13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3" ht="12.75">
      <c r="A9" s="17" t="s">
        <v>626</v>
      </c>
      <c r="B9" s="17" t="s">
        <v>257</v>
      </c>
      <c r="C9" s="17" t="s">
        <v>258</v>
      </c>
      <c r="D9" s="17" t="str">
        <f>"0,5429"</f>
        <v>0,5429</v>
      </c>
      <c r="E9" s="17" t="s">
        <v>69</v>
      </c>
      <c r="F9" s="17" t="s">
        <v>32</v>
      </c>
      <c r="G9" s="18" t="s">
        <v>106</v>
      </c>
      <c r="H9" s="18" t="s">
        <v>70</v>
      </c>
      <c r="I9" s="19" t="s">
        <v>152</v>
      </c>
      <c r="J9" s="19"/>
      <c r="K9" s="17" t="str">
        <f>"70,0"</f>
        <v>70,0</v>
      </c>
      <c r="L9" s="18" t="str">
        <f>"38,0030"</f>
        <v>38,0030</v>
      </c>
      <c r="M9" s="17" t="s">
        <v>208</v>
      </c>
    </row>
    <row r="10" spans="1:13" ht="12.75">
      <c r="A10" s="23" t="s">
        <v>252</v>
      </c>
      <c r="B10" s="23" t="s">
        <v>259</v>
      </c>
      <c r="C10" s="23" t="s">
        <v>254</v>
      </c>
      <c r="D10" s="23" t="str">
        <f>"0,5365"</f>
        <v>0,5365</v>
      </c>
      <c r="E10" s="23" t="s">
        <v>179</v>
      </c>
      <c r="F10" s="23" t="s">
        <v>227</v>
      </c>
      <c r="G10" s="24" t="s">
        <v>70</v>
      </c>
      <c r="H10" s="24" t="s">
        <v>71</v>
      </c>
      <c r="I10" s="24" t="s">
        <v>627</v>
      </c>
      <c r="J10" s="25" t="s">
        <v>75</v>
      </c>
      <c r="K10" s="23" t="str">
        <f>"82,5"</f>
        <v>82,5</v>
      </c>
      <c r="L10" s="24" t="str">
        <f>"58,8675"</f>
        <v>58,8675</v>
      </c>
      <c r="M10" s="23" t="s">
        <v>124</v>
      </c>
    </row>
    <row r="12" spans="5:6" ht="15">
      <c r="E12" s="9" t="s">
        <v>40</v>
      </c>
      <c r="F12" s="45" t="s">
        <v>686</v>
      </c>
    </row>
    <row r="13" spans="5:6" ht="15">
      <c r="E13" s="9" t="s">
        <v>41</v>
      </c>
      <c r="F13" s="45" t="s">
        <v>687</v>
      </c>
    </row>
    <row r="14" spans="5:6" ht="15">
      <c r="E14" s="9" t="s">
        <v>42</v>
      </c>
      <c r="F14" s="45" t="s">
        <v>688</v>
      </c>
    </row>
    <row r="15" spans="5:6" ht="15">
      <c r="E15" s="9" t="s">
        <v>43</v>
      </c>
      <c r="F15" s="45" t="s">
        <v>689</v>
      </c>
    </row>
    <row r="16" spans="5:6" ht="15">
      <c r="E16" s="9" t="s">
        <v>43</v>
      </c>
      <c r="F16" s="45" t="s">
        <v>690</v>
      </c>
    </row>
    <row r="17" ht="15">
      <c r="E17" s="9"/>
    </row>
    <row r="18" ht="15">
      <c r="E18" s="9"/>
    </row>
    <row r="20" spans="1:2" ht="18">
      <c r="A20" s="10" t="s">
        <v>44</v>
      </c>
      <c r="B20" s="10"/>
    </row>
    <row r="21" spans="1:2" ht="15">
      <c r="A21" s="11" t="s">
        <v>45</v>
      </c>
      <c r="B21" s="11"/>
    </row>
    <row r="22" spans="1:2" ht="14.25">
      <c r="A22" s="13"/>
      <c r="B22" s="14" t="s">
        <v>46</v>
      </c>
    </row>
    <row r="23" spans="1:5" ht="15">
      <c r="A23" s="15" t="s">
        <v>47</v>
      </c>
      <c r="B23" s="15" t="s">
        <v>48</v>
      </c>
      <c r="C23" s="15" t="s">
        <v>49</v>
      </c>
      <c r="D23" s="15" t="s">
        <v>50</v>
      </c>
      <c r="E23" s="15" t="s">
        <v>51</v>
      </c>
    </row>
    <row r="24" spans="1:5" ht="12.75">
      <c r="A24" s="12" t="s">
        <v>255</v>
      </c>
      <c r="B24" s="4" t="s">
        <v>46</v>
      </c>
      <c r="C24" s="4" t="s">
        <v>52</v>
      </c>
      <c r="D24" s="4" t="s">
        <v>70</v>
      </c>
      <c r="E24" s="16" t="s">
        <v>628</v>
      </c>
    </row>
    <row r="26" spans="1:2" ht="14.25">
      <c r="A26" s="13"/>
      <c r="B26" s="14" t="s">
        <v>166</v>
      </c>
    </row>
    <row r="27" spans="1:5" ht="15">
      <c r="A27" s="15" t="s">
        <v>47</v>
      </c>
      <c r="B27" s="15" t="s">
        <v>48</v>
      </c>
      <c r="C27" s="15" t="s">
        <v>49</v>
      </c>
      <c r="D27" s="15" t="s">
        <v>50</v>
      </c>
      <c r="E27" s="15" t="s">
        <v>51</v>
      </c>
    </row>
    <row r="28" spans="1:5" ht="12.75">
      <c r="A28" s="12" t="s">
        <v>251</v>
      </c>
      <c r="B28" s="4" t="s">
        <v>238</v>
      </c>
      <c r="C28" s="4" t="s">
        <v>52</v>
      </c>
      <c r="D28" s="4" t="s">
        <v>627</v>
      </c>
      <c r="E28" s="16" t="s">
        <v>629</v>
      </c>
    </row>
    <row r="29" spans="1:5" ht="12.75">
      <c r="A29" s="12" t="s">
        <v>425</v>
      </c>
      <c r="B29" s="4" t="s">
        <v>240</v>
      </c>
      <c r="C29" s="4" t="s">
        <v>241</v>
      </c>
      <c r="D29" s="4" t="s">
        <v>75</v>
      </c>
      <c r="E29" s="16" t="s">
        <v>630</v>
      </c>
    </row>
    <row r="34" spans="1:2" ht="18">
      <c r="A34" s="10" t="s">
        <v>58</v>
      </c>
      <c r="B34" s="10"/>
    </row>
    <row r="35" spans="1:3" ht="15">
      <c r="A35" s="15" t="s">
        <v>59</v>
      </c>
      <c r="B35" s="15" t="s">
        <v>60</v>
      </c>
      <c r="C35" s="15" t="s">
        <v>61</v>
      </c>
    </row>
    <row r="36" spans="1:3" ht="12.75">
      <c r="A36" s="4" t="s">
        <v>429</v>
      </c>
      <c r="B36" s="4" t="s">
        <v>62</v>
      </c>
      <c r="C36" s="4" t="s">
        <v>457</v>
      </c>
    </row>
    <row r="37" spans="1:3" ht="12.75">
      <c r="A37" s="4" t="s">
        <v>69</v>
      </c>
      <c r="B37" s="4" t="s">
        <v>62</v>
      </c>
      <c r="C37" s="4" t="s">
        <v>266</v>
      </c>
    </row>
    <row r="38" spans="1:3" ht="12.75">
      <c r="A38" s="4" t="s">
        <v>179</v>
      </c>
      <c r="B38" s="4" t="s">
        <v>62</v>
      </c>
      <c r="C38" s="4" t="s">
        <v>325</v>
      </c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4">
      <selection activeCell="E30" sqref="E30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58.87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21.75390625" style="4" bestFit="1" customWidth="1"/>
    <col min="14" max="16384" width="9.125" style="3" customWidth="1"/>
  </cols>
  <sheetData>
    <row r="1" spans="1:13" s="2" customFormat="1" ht="28.5" customHeight="1">
      <c r="A1" s="50" t="s">
        <v>657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6</v>
      </c>
      <c r="C3" s="58" t="s">
        <v>7</v>
      </c>
      <c r="D3" s="60" t="s">
        <v>9</v>
      </c>
      <c r="E3" s="60" t="s">
        <v>4</v>
      </c>
      <c r="F3" s="60" t="s">
        <v>8</v>
      </c>
      <c r="G3" s="60" t="s">
        <v>607</v>
      </c>
      <c r="H3" s="60"/>
      <c r="I3" s="60"/>
      <c r="J3" s="60"/>
      <c r="K3" s="60" t="s">
        <v>250</v>
      </c>
      <c r="L3" s="60" t="s">
        <v>3</v>
      </c>
      <c r="M3" s="61" t="s">
        <v>2</v>
      </c>
    </row>
    <row r="4" spans="1:13" s="1" customFormat="1" ht="21" customHeight="1" thickBot="1">
      <c r="A4" s="57"/>
      <c r="B4" s="59"/>
      <c r="C4" s="59"/>
      <c r="D4" s="59"/>
      <c r="E4" s="59"/>
      <c r="F4" s="59"/>
      <c r="G4" s="5">
        <v>1</v>
      </c>
      <c r="H4" s="5">
        <v>2</v>
      </c>
      <c r="I4" s="5">
        <v>3</v>
      </c>
      <c r="J4" s="5" t="s">
        <v>5</v>
      </c>
      <c r="K4" s="59"/>
      <c r="L4" s="59"/>
      <c r="M4" s="62"/>
    </row>
    <row r="5" spans="1:12" ht="15">
      <c r="A5" s="46" t="s">
        <v>147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17" t="s">
        <v>609</v>
      </c>
      <c r="B6" s="17" t="s">
        <v>610</v>
      </c>
      <c r="C6" s="17" t="s">
        <v>611</v>
      </c>
      <c r="D6" s="17" t="str">
        <f>"0,6645"</f>
        <v>0,6645</v>
      </c>
      <c r="E6" s="17" t="s">
        <v>179</v>
      </c>
      <c r="F6" s="17" t="s">
        <v>184</v>
      </c>
      <c r="G6" s="18" t="s">
        <v>612</v>
      </c>
      <c r="H6" s="18" t="s">
        <v>289</v>
      </c>
      <c r="I6" s="18" t="s">
        <v>105</v>
      </c>
      <c r="J6" s="19"/>
      <c r="K6" s="17" t="str">
        <f>"60,0"</f>
        <v>60,0</v>
      </c>
      <c r="L6" s="18" t="str">
        <f>"39,8700"</f>
        <v>39,8700</v>
      </c>
      <c r="M6" s="17" t="s">
        <v>613</v>
      </c>
    </row>
    <row r="7" spans="1:13" ht="12.75">
      <c r="A7" s="23" t="s">
        <v>187</v>
      </c>
      <c r="B7" s="23" t="s">
        <v>188</v>
      </c>
      <c r="C7" s="23" t="s">
        <v>189</v>
      </c>
      <c r="D7" s="23" t="str">
        <f>"0,6993"</f>
        <v>0,6993</v>
      </c>
      <c r="E7" s="23" t="s">
        <v>179</v>
      </c>
      <c r="F7" s="23" t="s">
        <v>19</v>
      </c>
      <c r="G7" s="25" t="s">
        <v>612</v>
      </c>
      <c r="H7" s="24" t="s">
        <v>612</v>
      </c>
      <c r="I7" s="24" t="s">
        <v>289</v>
      </c>
      <c r="J7" s="25"/>
      <c r="K7" s="23" t="str">
        <f>"57,5"</f>
        <v>57,5</v>
      </c>
      <c r="L7" s="24" t="str">
        <f>"40,2097"</f>
        <v>40,2097</v>
      </c>
      <c r="M7" s="23" t="s">
        <v>190</v>
      </c>
    </row>
    <row r="9" spans="1:12" ht="15">
      <c r="A9" s="48" t="s">
        <v>92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3" ht="12.75">
      <c r="A10" s="6" t="s">
        <v>316</v>
      </c>
      <c r="B10" s="6" t="s">
        <v>317</v>
      </c>
      <c r="C10" s="6" t="s">
        <v>318</v>
      </c>
      <c r="D10" s="6" t="str">
        <f>"0,6388"</f>
        <v>0,6388</v>
      </c>
      <c r="E10" s="6" t="s">
        <v>69</v>
      </c>
      <c r="F10" s="6" t="s">
        <v>32</v>
      </c>
      <c r="G10" s="8" t="s">
        <v>105</v>
      </c>
      <c r="H10" s="8" t="s">
        <v>106</v>
      </c>
      <c r="I10" s="7" t="s">
        <v>152</v>
      </c>
      <c r="J10" s="7"/>
      <c r="K10" s="6" t="str">
        <f>"65,0"</f>
        <v>65,0</v>
      </c>
      <c r="L10" s="8" t="str">
        <f>"57,3004"</f>
        <v>57,3004</v>
      </c>
      <c r="M10" s="6" t="s">
        <v>124</v>
      </c>
    </row>
    <row r="12" spans="1:12" ht="15">
      <c r="A12" s="48" t="s">
        <v>196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3" ht="12.75">
      <c r="A13" s="17" t="s">
        <v>475</v>
      </c>
      <c r="B13" s="17" t="s">
        <v>476</v>
      </c>
      <c r="C13" s="17" t="s">
        <v>477</v>
      </c>
      <c r="D13" s="17" t="str">
        <f>"0,5859"</f>
        <v>0,5859</v>
      </c>
      <c r="E13" s="17" t="s">
        <v>31</v>
      </c>
      <c r="F13" s="17" t="s">
        <v>160</v>
      </c>
      <c r="G13" s="18" t="s">
        <v>70</v>
      </c>
      <c r="H13" s="18" t="s">
        <v>88</v>
      </c>
      <c r="I13" s="19" t="s">
        <v>71</v>
      </c>
      <c r="J13" s="19"/>
      <c r="K13" s="17" t="str">
        <f>"75,0"</f>
        <v>75,0</v>
      </c>
      <c r="L13" s="18" t="str">
        <f>"43,9425"</f>
        <v>43,9425</v>
      </c>
      <c r="M13" s="17" t="s">
        <v>124</v>
      </c>
    </row>
    <row r="14" spans="1:13" ht="12.75">
      <c r="A14" s="23" t="s">
        <v>497</v>
      </c>
      <c r="B14" s="23" t="s">
        <v>498</v>
      </c>
      <c r="C14" s="23" t="s">
        <v>499</v>
      </c>
      <c r="D14" s="23" t="str">
        <f>"0,5995"</f>
        <v>0,5995</v>
      </c>
      <c r="E14" s="23" t="s">
        <v>69</v>
      </c>
      <c r="F14" s="23" t="s">
        <v>32</v>
      </c>
      <c r="G14" s="24" t="s">
        <v>73</v>
      </c>
      <c r="H14" s="24" t="s">
        <v>281</v>
      </c>
      <c r="I14" s="25" t="s">
        <v>282</v>
      </c>
      <c r="J14" s="25"/>
      <c r="K14" s="23" t="str">
        <f>"50,0"</f>
        <v>50,0</v>
      </c>
      <c r="L14" s="24" t="str">
        <f>"47,6603"</f>
        <v>47,6603</v>
      </c>
      <c r="M14" s="23" t="s">
        <v>208</v>
      </c>
    </row>
    <row r="16" spans="1:12" ht="15">
      <c r="A16" s="48" t="s">
        <v>202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3" ht="12.75">
      <c r="A17" s="6" t="s">
        <v>522</v>
      </c>
      <c r="B17" s="6" t="s">
        <v>352</v>
      </c>
      <c r="C17" s="6" t="s">
        <v>353</v>
      </c>
      <c r="D17" s="6" t="str">
        <f>"0,5821"</f>
        <v>0,5821</v>
      </c>
      <c r="E17" s="6" t="s">
        <v>69</v>
      </c>
      <c r="F17" s="6" t="s">
        <v>32</v>
      </c>
      <c r="G17" s="8" t="s">
        <v>106</v>
      </c>
      <c r="H17" s="8" t="s">
        <v>88</v>
      </c>
      <c r="I17" s="8" t="s">
        <v>71</v>
      </c>
      <c r="J17" s="7"/>
      <c r="K17" s="6" t="str">
        <f>"80,0"</f>
        <v>80,0</v>
      </c>
      <c r="L17" s="8" t="str">
        <f>"46,5680"</f>
        <v>46,5680</v>
      </c>
      <c r="M17" s="6" t="s">
        <v>208</v>
      </c>
    </row>
    <row r="19" spans="1:12" ht="15">
      <c r="A19" s="48" t="s">
        <v>13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3" ht="12.75">
      <c r="A20" s="6" t="s">
        <v>114</v>
      </c>
      <c r="B20" s="6" t="s">
        <v>115</v>
      </c>
      <c r="C20" s="6" t="s">
        <v>116</v>
      </c>
      <c r="D20" s="6" t="str">
        <f>"0,5411"</f>
        <v>0,5411</v>
      </c>
      <c r="E20" s="6" t="s">
        <v>117</v>
      </c>
      <c r="F20" s="6" t="s">
        <v>118</v>
      </c>
      <c r="G20" s="8" t="s">
        <v>73</v>
      </c>
      <c r="H20" s="8" t="s">
        <v>281</v>
      </c>
      <c r="I20" s="8" t="s">
        <v>106</v>
      </c>
      <c r="J20" s="7"/>
      <c r="K20" s="6" t="str">
        <f>"65,0"</f>
        <v>65,0</v>
      </c>
      <c r="L20" s="8" t="str">
        <f>"35,1715"</f>
        <v>35,1715</v>
      </c>
      <c r="M20" s="6" t="s">
        <v>124</v>
      </c>
    </row>
    <row r="22" spans="1:12" ht="15">
      <c r="A22" s="48" t="s">
        <v>155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3" ht="12.75">
      <c r="A23" s="6" t="s">
        <v>614</v>
      </c>
      <c r="B23" s="6" t="s">
        <v>372</v>
      </c>
      <c r="C23" s="6" t="s">
        <v>373</v>
      </c>
      <c r="D23" s="6" t="str">
        <f>"0,5267"</f>
        <v>0,5267</v>
      </c>
      <c r="E23" s="6" t="s">
        <v>179</v>
      </c>
      <c r="F23" s="6" t="s">
        <v>227</v>
      </c>
      <c r="G23" s="8" t="s">
        <v>88</v>
      </c>
      <c r="H23" s="8" t="s">
        <v>71</v>
      </c>
      <c r="I23" s="8" t="s">
        <v>75</v>
      </c>
      <c r="J23" s="7"/>
      <c r="K23" s="6" t="str">
        <f>"85,0"</f>
        <v>85,0</v>
      </c>
      <c r="L23" s="8" t="str">
        <f>"44,7695"</f>
        <v>44,7695</v>
      </c>
      <c r="M23" s="6" t="s">
        <v>374</v>
      </c>
    </row>
    <row r="25" spans="5:6" ht="15">
      <c r="E25" s="9" t="s">
        <v>40</v>
      </c>
      <c r="F25" s="45" t="s">
        <v>686</v>
      </c>
    </row>
    <row r="26" spans="5:6" ht="15">
      <c r="E26" s="9" t="s">
        <v>41</v>
      </c>
      <c r="F26" s="45" t="s">
        <v>687</v>
      </c>
    </row>
    <row r="27" spans="5:6" ht="15">
      <c r="E27" s="9" t="s">
        <v>42</v>
      </c>
      <c r="F27" s="45" t="s">
        <v>688</v>
      </c>
    </row>
    <row r="28" spans="5:6" ht="15">
      <c r="E28" s="9" t="s">
        <v>43</v>
      </c>
      <c r="F28" s="45" t="s">
        <v>689</v>
      </c>
    </row>
    <row r="29" spans="5:6" ht="15">
      <c r="E29" s="9" t="s">
        <v>43</v>
      </c>
      <c r="F29" s="45" t="s">
        <v>690</v>
      </c>
    </row>
    <row r="30" ht="15">
      <c r="E30" s="9"/>
    </row>
    <row r="31" ht="15">
      <c r="E31" s="9"/>
    </row>
    <row r="33" spans="1:2" ht="18">
      <c r="A33" s="10" t="s">
        <v>44</v>
      </c>
      <c r="B33" s="10"/>
    </row>
    <row r="34" spans="1:2" ht="15">
      <c r="A34" s="11" t="s">
        <v>45</v>
      </c>
      <c r="B34" s="11"/>
    </row>
    <row r="35" spans="1:2" ht="14.25">
      <c r="A35" s="13"/>
      <c r="B35" s="14" t="s">
        <v>46</v>
      </c>
    </row>
    <row r="36" spans="1:5" ht="15">
      <c r="A36" s="15" t="s">
        <v>47</v>
      </c>
      <c r="B36" s="15" t="s">
        <v>48</v>
      </c>
      <c r="C36" s="15" t="s">
        <v>49</v>
      </c>
      <c r="D36" s="15" t="s">
        <v>50</v>
      </c>
      <c r="E36" s="15" t="s">
        <v>51</v>
      </c>
    </row>
    <row r="37" spans="1:5" ht="12.75">
      <c r="A37" s="12" t="s">
        <v>350</v>
      </c>
      <c r="B37" s="4" t="s">
        <v>46</v>
      </c>
      <c r="C37" s="4" t="s">
        <v>233</v>
      </c>
      <c r="D37" s="4" t="s">
        <v>71</v>
      </c>
      <c r="E37" s="16" t="s">
        <v>615</v>
      </c>
    </row>
    <row r="38" spans="1:5" ht="12.75">
      <c r="A38" s="12" t="s">
        <v>370</v>
      </c>
      <c r="B38" s="4" t="s">
        <v>46</v>
      </c>
      <c r="C38" s="4" t="s">
        <v>171</v>
      </c>
      <c r="D38" s="4" t="s">
        <v>75</v>
      </c>
      <c r="E38" s="16" t="s">
        <v>616</v>
      </c>
    </row>
    <row r="39" spans="1:5" ht="12.75">
      <c r="A39" s="12" t="s">
        <v>474</v>
      </c>
      <c r="B39" s="4" t="s">
        <v>46</v>
      </c>
      <c r="C39" s="4" t="s">
        <v>241</v>
      </c>
      <c r="D39" s="4" t="s">
        <v>88</v>
      </c>
      <c r="E39" s="16" t="s">
        <v>617</v>
      </c>
    </row>
    <row r="40" spans="1:5" ht="12.75">
      <c r="A40" s="12" t="s">
        <v>186</v>
      </c>
      <c r="B40" s="4" t="s">
        <v>46</v>
      </c>
      <c r="C40" s="4" t="s">
        <v>168</v>
      </c>
      <c r="D40" s="4" t="s">
        <v>289</v>
      </c>
      <c r="E40" s="16" t="s">
        <v>618</v>
      </c>
    </row>
    <row r="41" spans="1:5" ht="12.75">
      <c r="A41" s="12" t="s">
        <v>608</v>
      </c>
      <c r="B41" s="4" t="s">
        <v>46</v>
      </c>
      <c r="C41" s="4" t="s">
        <v>168</v>
      </c>
      <c r="D41" s="4" t="s">
        <v>105</v>
      </c>
      <c r="E41" s="16" t="s">
        <v>619</v>
      </c>
    </row>
    <row r="42" spans="1:5" ht="12.75">
      <c r="A42" s="12" t="s">
        <v>113</v>
      </c>
      <c r="B42" s="4" t="s">
        <v>46</v>
      </c>
      <c r="C42" s="4" t="s">
        <v>52</v>
      </c>
      <c r="D42" s="4" t="s">
        <v>106</v>
      </c>
      <c r="E42" s="16" t="s">
        <v>620</v>
      </c>
    </row>
    <row r="44" spans="1:2" ht="14.25">
      <c r="A44" s="13"/>
      <c r="B44" s="14" t="s">
        <v>166</v>
      </c>
    </row>
    <row r="45" spans="1:5" ht="15">
      <c r="A45" s="15" t="s">
        <v>47</v>
      </c>
      <c r="B45" s="15" t="s">
        <v>48</v>
      </c>
      <c r="C45" s="15" t="s">
        <v>49</v>
      </c>
      <c r="D45" s="15" t="s">
        <v>50</v>
      </c>
      <c r="E45" s="15" t="s">
        <v>51</v>
      </c>
    </row>
    <row r="46" spans="1:5" ht="12.75">
      <c r="A46" s="12" t="s">
        <v>315</v>
      </c>
      <c r="B46" s="4" t="s">
        <v>412</v>
      </c>
      <c r="C46" s="4" t="s">
        <v>134</v>
      </c>
      <c r="D46" s="4" t="s">
        <v>106</v>
      </c>
      <c r="E46" s="16" t="s">
        <v>621</v>
      </c>
    </row>
    <row r="47" spans="1:5" ht="12.75">
      <c r="A47" s="12" t="s">
        <v>496</v>
      </c>
      <c r="B47" s="4" t="s">
        <v>412</v>
      </c>
      <c r="C47" s="4" t="s">
        <v>241</v>
      </c>
      <c r="D47" s="4" t="s">
        <v>281</v>
      </c>
      <c r="E47" s="16" t="s">
        <v>622</v>
      </c>
    </row>
    <row r="52" spans="1:2" ht="18">
      <c r="A52" s="10" t="s">
        <v>58</v>
      </c>
      <c r="B52" s="10"/>
    </row>
    <row r="53" spans="1:3" ht="15">
      <c r="A53" s="15" t="s">
        <v>59</v>
      </c>
      <c r="B53" s="15" t="s">
        <v>60</v>
      </c>
      <c r="C53" s="15" t="s">
        <v>61</v>
      </c>
    </row>
    <row r="54" spans="1:3" ht="12.75">
      <c r="A54" s="4" t="s">
        <v>69</v>
      </c>
      <c r="B54" s="4" t="s">
        <v>245</v>
      </c>
      <c r="C54" s="4" t="s">
        <v>623</v>
      </c>
    </row>
    <row r="55" spans="1:3" ht="12.75">
      <c r="A55" s="4" t="s">
        <v>179</v>
      </c>
      <c r="B55" s="4" t="s">
        <v>624</v>
      </c>
      <c r="C55" s="4" t="s">
        <v>625</v>
      </c>
    </row>
    <row r="56" spans="1:3" ht="12.75">
      <c r="A56" s="4" t="s">
        <v>117</v>
      </c>
      <c r="B56" s="4" t="s">
        <v>62</v>
      </c>
      <c r="C56" s="4" t="s">
        <v>145</v>
      </c>
    </row>
  </sheetData>
  <sheetProtection/>
  <mergeCells count="17">
    <mergeCell ref="A16:L16"/>
    <mergeCell ref="A19:L19"/>
    <mergeCell ref="A22:L22"/>
    <mergeCell ref="K3:K4"/>
    <mergeCell ref="L3:L4"/>
    <mergeCell ref="M3:M4"/>
    <mergeCell ref="A5:L5"/>
    <mergeCell ref="A9:L9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6.87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0" t="s">
        <v>658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6</v>
      </c>
      <c r="C3" s="58" t="s">
        <v>7</v>
      </c>
      <c r="D3" s="60" t="s">
        <v>9</v>
      </c>
      <c r="E3" s="60" t="s">
        <v>4</v>
      </c>
      <c r="F3" s="60" t="s">
        <v>8</v>
      </c>
      <c r="G3" s="60" t="s">
        <v>605</v>
      </c>
      <c r="H3" s="60"/>
      <c r="I3" s="60"/>
      <c r="J3" s="60"/>
      <c r="K3" s="60" t="s">
        <v>250</v>
      </c>
      <c r="L3" s="60" t="s">
        <v>3</v>
      </c>
      <c r="M3" s="61" t="s">
        <v>2</v>
      </c>
    </row>
    <row r="4" spans="1:13" s="1" customFormat="1" ht="21" customHeight="1" thickBot="1">
      <c r="A4" s="57"/>
      <c r="B4" s="59"/>
      <c r="C4" s="59"/>
      <c r="D4" s="59"/>
      <c r="E4" s="59"/>
      <c r="F4" s="59"/>
      <c r="G4" s="5">
        <v>1</v>
      </c>
      <c r="H4" s="5">
        <v>2</v>
      </c>
      <c r="I4" s="5">
        <v>3</v>
      </c>
      <c r="J4" s="5" t="s">
        <v>5</v>
      </c>
      <c r="K4" s="59"/>
      <c r="L4" s="59"/>
      <c r="M4" s="62"/>
    </row>
    <row r="5" spans="1:12" ht="15">
      <c r="A5" s="46" t="s">
        <v>13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ht="12.75">
      <c r="A6" s="6" t="s">
        <v>114</v>
      </c>
      <c r="B6" s="6" t="s">
        <v>115</v>
      </c>
      <c r="C6" s="6" t="s">
        <v>116</v>
      </c>
      <c r="D6" s="6" t="str">
        <f>"0,5411"</f>
        <v>0,5411</v>
      </c>
      <c r="E6" s="6" t="s">
        <v>117</v>
      </c>
      <c r="F6" s="6" t="s">
        <v>118</v>
      </c>
      <c r="G6" s="8" t="s">
        <v>71</v>
      </c>
      <c r="H6" s="7" t="s">
        <v>86</v>
      </c>
      <c r="I6" s="8" t="s">
        <v>86</v>
      </c>
      <c r="J6" s="7"/>
      <c r="K6" s="6" t="str">
        <f>"90,0"</f>
        <v>90,0</v>
      </c>
      <c r="L6" s="8" t="str">
        <f>"48,6990"</f>
        <v>48,6990</v>
      </c>
      <c r="M6" s="6" t="s">
        <v>124</v>
      </c>
    </row>
    <row r="8" spans="5:6" ht="15">
      <c r="E8" s="9" t="s">
        <v>40</v>
      </c>
      <c r="F8" s="45" t="s">
        <v>686</v>
      </c>
    </row>
    <row r="9" spans="5:6" ht="15">
      <c r="E9" s="9" t="s">
        <v>41</v>
      </c>
      <c r="F9" s="45" t="s">
        <v>687</v>
      </c>
    </row>
    <row r="10" spans="5:6" ht="15">
      <c r="E10" s="9" t="s">
        <v>42</v>
      </c>
      <c r="F10" s="45" t="s">
        <v>688</v>
      </c>
    </row>
    <row r="11" spans="5:6" ht="15">
      <c r="E11" s="9" t="s">
        <v>43</v>
      </c>
      <c r="F11" s="45" t="s">
        <v>689</v>
      </c>
    </row>
    <row r="12" spans="5:6" ht="15">
      <c r="E12" s="9" t="s">
        <v>43</v>
      </c>
      <c r="F12" s="45" t="s">
        <v>690</v>
      </c>
    </row>
    <row r="13" ht="15">
      <c r="E13" s="9"/>
    </row>
    <row r="14" ht="15">
      <c r="E14" s="9"/>
    </row>
    <row r="16" spans="1:2" ht="18">
      <c r="A16" s="10" t="s">
        <v>44</v>
      </c>
      <c r="B16" s="10"/>
    </row>
    <row r="17" spans="1:2" ht="15">
      <c r="A17" s="11" t="s">
        <v>45</v>
      </c>
      <c r="B17" s="11"/>
    </row>
    <row r="18" spans="1:2" ht="14.25">
      <c r="A18" s="13"/>
      <c r="B18" s="14" t="s">
        <v>46</v>
      </c>
    </row>
    <row r="19" spans="1:5" ht="15">
      <c r="A19" s="15" t="s">
        <v>47</v>
      </c>
      <c r="B19" s="15" t="s">
        <v>48</v>
      </c>
      <c r="C19" s="15" t="s">
        <v>49</v>
      </c>
      <c r="D19" s="15" t="s">
        <v>50</v>
      </c>
      <c r="E19" s="15" t="s">
        <v>51</v>
      </c>
    </row>
    <row r="20" spans="1:5" ht="12.75">
      <c r="A20" s="12" t="s">
        <v>113</v>
      </c>
      <c r="B20" s="4" t="s">
        <v>46</v>
      </c>
      <c r="C20" s="4" t="s">
        <v>52</v>
      </c>
      <c r="D20" s="4" t="s">
        <v>86</v>
      </c>
      <c r="E20" s="16" t="s">
        <v>606</v>
      </c>
    </row>
    <row r="25" spans="1:2" ht="18">
      <c r="A25" s="10" t="s">
        <v>58</v>
      </c>
      <c r="B25" s="10"/>
    </row>
    <row r="26" spans="1:3" ht="15">
      <c r="A26" s="15" t="s">
        <v>59</v>
      </c>
      <c r="B26" s="15" t="s">
        <v>60</v>
      </c>
      <c r="C26" s="15" t="s">
        <v>61</v>
      </c>
    </row>
    <row r="27" spans="1:3" ht="12.75">
      <c r="A27" s="4" t="s">
        <v>117</v>
      </c>
      <c r="B27" s="4" t="s">
        <v>62</v>
      </c>
      <c r="C27" s="4" t="s">
        <v>145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1.875" style="4" bestFit="1" customWidth="1"/>
    <col min="2" max="2" width="28.375" style="4" bestFit="1" customWidth="1"/>
    <col min="3" max="3" width="18.875" style="4" bestFit="1" customWidth="1"/>
    <col min="4" max="4" width="10.75390625" style="4" bestFit="1" customWidth="1"/>
    <col min="5" max="5" width="22.75390625" style="4" bestFit="1" customWidth="1"/>
    <col min="6" max="6" width="17.25390625" style="4" bestFit="1" customWidth="1"/>
    <col min="7" max="7" width="5.625" style="3" bestFit="1" customWidth="1"/>
    <col min="8" max="8" width="4.625" style="31" bestFit="1" customWidth="1"/>
    <col min="9" max="9" width="7.875" style="4" bestFit="1" customWidth="1"/>
    <col min="10" max="10" width="9.625" style="3" bestFit="1" customWidth="1"/>
    <col min="11" max="11" width="29.00390625" style="4" bestFit="1" customWidth="1"/>
    <col min="12" max="16384" width="9.125" style="3" customWidth="1"/>
  </cols>
  <sheetData>
    <row r="1" spans="1:11" s="2" customFormat="1" ht="28.5" customHeight="1">
      <c r="A1" s="50" t="s">
        <v>659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>
      <c r="A3" s="56" t="s">
        <v>0</v>
      </c>
      <c r="B3" s="58" t="s">
        <v>6</v>
      </c>
      <c r="C3" s="58" t="s">
        <v>7</v>
      </c>
      <c r="D3" s="60" t="s">
        <v>534</v>
      </c>
      <c r="E3" s="60" t="s">
        <v>4</v>
      </c>
      <c r="F3" s="60" t="s">
        <v>8</v>
      </c>
      <c r="G3" s="60" t="s">
        <v>602</v>
      </c>
      <c r="H3" s="60"/>
      <c r="I3" s="60" t="s">
        <v>585</v>
      </c>
      <c r="J3" s="60" t="s">
        <v>3</v>
      </c>
      <c r="K3" s="61" t="s">
        <v>2</v>
      </c>
    </row>
    <row r="4" spans="1:11" s="1" customFormat="1" ht="21" customHeight="1" thickBot="1">
      <c r="A4" s="57"/>
      <c r="B4" s="59"/>
      <c r="C4" s="59"/>
      <c r="D4" s="59"/>
      <c r="E4" s="59"/>
      <c r="F4" s="59"/>
      <c r="G4" s="5" t="s">
        <v>583</v>
      </c>
      <c r="H4" s="26" t="s">
        <v>584</v>
      </c>
      <c r="I4" s="59"/>
      <c r="J4" s="59"/>
      <c r="K4" s="62"/>
    </row>
    <row r="5" spans="1:10" ht="15">
      <c r="A5" s="46" t="s">
        <v>202</v>
      </c>
      <c r="B5" s="47"/>
      <c r="C5" s="47"/>
      <c r="D5" s="47"/>
      <c r="E5" s="47"/>
      <c r="F5" s="47"/>
      <c r="G5" s="47"/>
      <c r="H5" s="47"/>
      <c r="I5" s="47"/>
      <c r="J5" s="47"/>
    </row>
    <row r="6" spans="1:11" ht="12.75">
      <c r="A6" s="6" t="s">
        <v>501</v>
      </c>
      <c r="B6" s="6" t="s">
        <v>502</v>
      </c>
      <c r="C6" s="6" t="s">
        <v>503</v>
      </c>
      <c r="D6" s="6" t="str">
        <f>"0,6675"</f>
        <v>0,6675</v>
      </c>
      <c r="E6" s="6" t="s">
        <v>84</v>
      </c>
      <c r="F6" s="6" t="s">
        <v>85</v>
      </c>
      <c r="G6" s="8" t="s">
        <v>98</v>
      </c>
      <c r="H6" s="30" t="s">
        <v>302</v>
      </c>
      <c r="I6" s="6" t="str">
        <f>"4500,0"</f>
        <v>4500,0</v>
      </c>
      <c r="J6" s="8" t="str">
        <f>"3003,7501"</f>
        <v>3003,7501</v>
      </c>
      <c r="K6" s="6" t="s">
        <v>91</v>
      </c>
    </row>
    <row r="8" spans="5:6" ht="15">
      <c r="E8" s="9" t="s">
        <v>40</v>
      </c>
      <c r="F8" s="45" t="s">
        <v>686</v>
      </c>
    </row>
    <row r="9" spans="5:6" ht="15">
      <c r="E9" s="9" t="s">
        <v>41</v>
      </c>
      <c r="F9" s="45" t="s">
        <v>687</v>
      </c>
    </row>
    <row r="10" spans="5:6" ht="15">
      <c r="E10" s="9" t="s">
        <v>42</v>
      </c>
      <c r="F10" s="45" t="s">
        <v>688</v>
      </c>
    </row>
    <row r="11" spans="5:6" ht="15">
      <c r="E11" s="9" t="s">
        <v>43</v>
      </c>
      <c r="F11" s="45" t="s">
        <v>689</v>
      </c>
    </row>
    <row r="12" spans="5:6" ht="15">
      <c r="E12" s="9" t="s">
        <v>43</v>
      </c>
      <c r="F12" s="45" t="s">
        <v>690</v>
      </c>
    </row>
    <row r="13" ht="15">
      <c r="E13" s="9"/>
    </row>
    <row r="14" ht="15">
      <c r="E14" s="9"/>
    </row>
    <row r="16" spans="1:2" ht="18">
      <c r="A16" s="10" t="s">
        <v>44</v>
      </c>
      <c r="B16" s="10"/>
    </row>
    <row r="17" spans="1:2" ht="15">
      <c r="A17" s="11" t="s">
        <v>45</v>
      </c>
      <c r="B17" s="11"/>
    </row>
    <row r="18" spans="1:2" ht="14.25">
      <c r="A18" s="13"/>
      <c r="B18" s="14" t="s">
        <v>391</v>
      </c>
    </row>
    <row r="19" spans="1:5" ht="15">
      <c r="A19" s="15" t="s">
        <v>47</v>
      </c>
      <c r="B19" s="15" t="s">
        <v>48</v>
      </c>
      <c r="C19" s="15" t="s">
        <v>49</v>
      </c>
      <c r="D19" s="15" t="s">
        <v>50</v>
      </c>
      <c r="E19" s="15" t="s">
        <v>560</v>
      </c>
    </row>
    <row r="20" spans="1:5" ht="12.75">
      <c r="A20" s="12" t="s">
        <v>500</v>
      </c>
      <c r="B20" s="4" t="s">
        <v>392</v>
      </c>
      <c r="C20" s="4" t="s">
        <v>233</v>
      </c>
      <c r="D20" s="4" t="s">
        <v>603</v>
      </c>
      <c r="E20" s="16" t="s">
        <v>604</v>
      </c>
    </row>
    <row r="25" spans="1:2" ht="18">
      <c r="A25" s="10" t="s">
        <v>58</v>
      </c>
      <c r="B25" s="10"/>
    </row>
    <row r="26" spans="1:3" ht="15">
      <c r="A26" s="15" t="s">
        <v>59</v>
      </c>
      <c r="B26" s="15" t="s">
        <v>60</v>
      </c>
      <c r="C26" s="15" t="s">
        <v>61</v>
      </c>
    </row>
    <row r="27" spans="1:3" ht="12.75">
      <c r="A27" s="4" t="s">
        <v>84</v>
      </c>
      <c r="B27" s="4" t="s">
        <v>62</v>
      </c>
      <c r="C27" s="4" t="s">
        <v>520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20.125" style="4" bestFit="1" customWidth="1"/>
    <col min="4" max="4" width="10.75390625" style="4" bestFit="1" customWidth="1"/>
    <col min="5" max="5" width="30.75390625" style="4" bestFit="1" customWidth="1"/>
    <col min="6" max="6" width="25.00390625" style="4" bestFit="1" customWidth="1"/>
    <col min="7" max="7" width="4.625" style="3" bestFit="1" customWidth="1"/>
    <col min="8" max="8" width="5.625" style="31" bestFit="1" customWidth="1"/>
    <col min="9" max="9" width="7.875" style="4" bestFit="1" customWidth="1"/>
    <col min="10" max="10" width="9.625" style="3" bestFit="1" customWidth="1"/>
    <col min="11" max="11" width="29.00390625" style="4" bestFit="1" customWidth="1"/>
    <col min="12" max="16384" width="9.125" style="3" customWidth="1"/>
  </cols>
  <sheetData>
    <row r="1" spans="1:11" s="2" customFormat="1" ht="28.5" customHeight="1">
      <c r="A1" s="50" t="s">
        <v>660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>
      <c r="A3" s="56" t="s">
        <v>0</v>
      </c>
      <c r="B3" s="58" t="s">
        <v>6</v>
      </c>
      <c r="C3" s="58" t="s">
        <v>7</v>
      </c>
      <c r="D3" s="60" t="s">
        <v>534</v>
      </c>
      <c r="E3" s="60" t="s">
        <v>4</v>
      </c>
      <c r="F3" s="60" t="s">
        <v>8</v>
      </c>
      <c r="G3" s="60" t="s">
        <v>535</v>
      </c>
      <c r="H3" s="60"/>
      <c r="I3" s="60" t="s">
        <v>585</v>
      </c>
      <c r="J3" s="60" t="s">
        <v>3</v>
      </c>
      <c r="K3" s="61" t="s">
        <v>2</v>
      </c>
    </row>
    <row r="4" spans="1:11" s="1" customFormat="1" ht="21" customHeight="1" thickBot="1">
      <c r="A4" s="57"/>
      <c r="B4" s="59"/>
      <c r="C4" s="59"/>
      <c r="D4" s="59"/>
      <c r="E4" s="59"/>
      <c r="F4" s="59"/>
      <c r="G4" s="5" t="s">
        <v>583</v>
      </c>
      <c r="H4" s="26" t="s">
        <v>584</v>
      </c>
      <c r="I4" s="59"/>
      <c r="J4" s="59"/>
      <c r="K4" s="62"/>
    </row>
    <row r="5" spans="1:10" ht="15">
      <c r="A5" s="46" t="s">
        <v>92</v>
      </c>
      <c r="B5" s="47"/>
      <c r="C5" s="47"/>
      <c r="D5" s="47"/>
      <c r="E5" s="47"/>
      <c r="F5" s="47"/>
      <c r="G5" s="47"/>
      <c r="H5" s="47"/>
      <c r="I5" s="47"/>
      <c r="J5" s="47"/>
    </row>
    <row r="6" spans="1:11" ht="12.75">
      <c r="A6" s="6" t="s">
        <v>590</v>
      </c>
      <c r="B6" s="6" t="s">
        <v>591</v>
      </c>
      <c r="C6" s="6" t="s">
        <v>592</v>
      </c>
      <c r="D6" s="6" t="str">
        <f>"0,8168"</f>
        <v>0,8168</v>
      </c>
      <c r="E6" s="6" t="s">
        <v>69</v>
      </c>
      <c r="F6" s="6" t="s">
        <v>32</v>
      </c>
      <c r="G6" s="8" t="s">
        <v>153</v>
      </c>
      <c r="H6" s="30" t="s">
        <v>593</v>
      </c>
      <c r="I6" s="6" t="str">
        <f>"7827,5"</f>
        <v>7827,5</v>
      </c>
      <c r="J6" s="8" t="str">
        <f>"6393,5020"</f>
        <v>6393,5020</v>
      </c>
      <c r="K6" s="6" t="s">
        <v>124</v>
      </c>
    </row>
    <row r="8" spans="1:10" ht="15">
      <c r="A8" s="48" t="s">
        <v>196</v>
      </c>
      <c r="B8" s="49"/>
      <c r="C8" s="49"/>
      <c r="D8" s="49"/>
      <c r="E8" s="49"/>
      <c r="F8" s="49"/>
      <c r="G8" s="49"/>
      <c r="H8" s="49"/>
      <c r="I8" s="49"/>
      <c r="J8" s="49"/>
    </row>
    <row r="9" spans="1:11" ht="12.75">
      <c r="A9" s="6" t="s">
        <v>594</v>
      </c>
      <c r="B9" s="6" t="s">
        <v>595</v>
      </c>
      <c r="C9" s="6" t="s">
        <v>428</v>
      </c>
      <c r="D9" s="6" t="str">
        <f>"0,7197"</f>
        <v>0,7197</v>
      </c>
      <c r="E9" s="6" t="s">
        <v>429</v>
      </c>
      <c r="F9" s="6" t="s">
        <v>124</v>
      </c>
      <c r="G9" s="7" t="s">
        <v>86</v>
      </c>
      <c r="H9" s="32" t="s">
        <v>311</v>
      </c>
      <c r="I9" s="6" t="str">
        <f>"0.00"</f>
        <v>0.00</v>
      </c>
      <c r="J9" s="8" t="str">
        <f>"0,0000"</f>
        <v>0,0000</v>
      </c>
      <c r="K9" s="6" t="s">
        <v>124</v>
      </c>
    </row>
    <row r="11" spans="1:10" ht="15">
      <c r="A11" s="48" t="s">
        <v>202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1" ht="12.75">
      <c r="A12" s="6" t="s">
        <v>432</v>
      </c>
      <c r="B12" s="6" t="s">
        <v>433</v>
      </c>
      <c r="C12" s="6" t="s">
        <v>434</v>
      </c>
      <c r="D12" s="6" t="str">
        <f>"0,7155"</f>
        <v>0,7155</v>
      </c>
      <c r="E12" s="6" t="s">
        <v>435</v>
      </c>
      <c r="F12" s="6" t="s">
        <v>436</v>
      </c>
      <c r="G12" s="8" t="s">
        <v>596</v>
      </c>
      <c r="H12" s="30" t="s">
        <v>73</v>
      </c>
      <c r="I12" s="6" t="str">
        <f>"3700,0"</f>
        <v>3700,0</v>
      </c>
      <c r="J12" s="8" t="str">
        <f>"2647,3500"</f>
        <v>2647,3500</v>
      </c>
      <c r="K12" s="6" t="s">
        <v>437</v>
      </c>
    </row>
    <row r="14" spans="5:6" ht="15">
      <c r="E14" s="9" t="s">
        <v>40</v>
      </c>
      <c r="F14" s="45" t="s">
        <v>686</v>
      </c>
    </row>
    <row r="15" spans="5:6" ht="15">
      <c r="E15" s="9" t="s">
        <v>41</v>
      </c>
      <c r="F15" s="45" t="s">
        <v>687</v>
      </c>
    </row>
    <row r="16" spans="5:6" ht="15">
      <c r="E16" s="9" t="s">
        <v>42</v>
      </c>
      <c r="F16" s="45" t="s">
        <v>688</v>
      </c>
    </row>
    <row r="17" spans="5:6" ht="15">
      <c r="E17" s="9" t="s">
        <v>43</v>
      </c>
      <c r="F17" s="45" t="s">
        <v>689</v>
      </c>
    </row>
    <row r="18" spans="5:6" ht="15">
      <c r="E18" s="9" t="s">
        <v>43</v>
      </c>
      <c r="F18" s="45" t="s">
        <v>690</v>
      </c>
    </row>
    <row r="19" ht="15">
      <c r="E19" s="9"/>
    </row>
    <row r="20" ht="15">
      <c r="E20" s="9"/>
    </row>
    <row r="22" spans="1:2" ht="18">
      <c r="A22" s="10" t="s">
        <v>44</v>
      </c>
      <c r="B22" s="10"/>
    </row>
    <row r="23" spans="1:2" ht="15">
      <c r="A23" s="11" t="s">
        <v>45</v>
      </c>
      <c r="B23" s="11"/>
    </row>
    <row r="24" spans="1:2" ht="14.25">
      <c r="A24" s="13"/>
      <c r="B24" s="14" t="s">
        <v>46</v>
      </c>
    </row>
    <row r="25" spans="1:5" ht="15">
      <c r="A25" s="15" t="s">
        <v>47</v>
      </c>
      <c r="B25" s="15" t="s">
        <v>48</v>
      </c>
      <c r="C25" s="15" t="s">
        <v>49</v>
      </c>
      <c r="D25" s="15" t="s">
        <v>50</v>
      </c>
      <c r="E25" s="15" t="s">
        <v>560</v>
      </c>
    </row>
    <row r="26" spans="1:5" ht="12.75">
      <c r="A26" s="12" t="s">
        <v>589</v>
      </c>
      <c r="B26" s="4" t="s">
        <v>46</v>
      </c>
      <c r="C26" s="4" t="s">
        <v>134</v>
      </c>
      <c r="D26" s="4" t="s">
        <v>597</v>
      </c>
      <c r="E26" s="16" t="s">
        <v>598</v>
      </c>
    </row>
    <row r="27" spans="1:5" ht="12.75">
      <c r="A27" s="12" t="s">
        <v>431</v>
      </c>
      <c r="B27" s="4" t="s">
        <v>46</v>
      </c>
      <c r="C27" s="4" t="s">
        <v>233</v>
      </c>
      <c r="D27" s="4" t="s">
        <v>599</v>
      </c>
      <c r="E27" s="16" t="s">
        <v>600</v>
      </c>
    </row>
    <row r="32" spans="1:2" ht="18">
      <c r="A32" s="10" t="s">
        <v>58</v>
      </c>
      <c r="B32" s="10"/>
    </row>
    <row r="33" spans="1:3" ht="15">
      <c r="A33" s="15" t="s">
        <v>59</v>
      </c>
      <c r="B33" s="15" t="s">
        <v>60</v>
      </c>
      <c r="C33" s="15" t="s">
        <v>61</v>
      </c>
    </row>
    <row r="34" spans="1:3" ht="12.75">
      <c r="A34" s="4" t="s">
        <v>435</v>
      </c>
      <c r="B34" s="4" t="s">
        <v>62</v>
      </c>
      <c r="C34" s="4" t="s">
        <v>458</v>
      </c>
    </row>
    <row r="35" spans="1:3" ht="12.75">
      <c r="A35" s="4" t="s">
        <v>69</v>
      </c>
      <c r="B35" s="4" t="s">
        <v>62</v>
      </c>
      <c r="C35" s="4" t="s">
        <v>601</v>
      </c>
    </row>
  </sheetData>
  <sheetProtection/>
  <mergeCells count="14">
    <mergeCell ref="A11:J11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J5"/>
    <mergeCell ref="A8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6.625" style="4" bestFit="1" customWidth="1"/>
    <col min="7" max="7" width="4.625" style="3" bestFit="1" customWidth="1"/>
    <col min="8" max="8" width="4.625" style="31" bestFit="1" customWidth="1"/>
    <col min="9" max="9" width="7.875" style="4" bestFit="1" customWidth="1"/>
    <col min="10" max="10" width="9.625" style="3" bestFit="1" customWidth="1"/>
    <col min="11" max="11" width="15.75390625" style="4" bestFit="1" customWidth="1"/>
    <col min="12" max="16384" width="9.125" style="3" customWidth="1"/>
  </cols>
  <sheetData>
    <row r="1" spans="1:11" s="2" customFormat="1" ht="28.5" customHeight="1">
      <c r="A1" s="50" t="s">
        <v>661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>
      <c r="A3" s="56" t="s">
        <v>0</v>
      </c>
      <c r="B3" s="58" t="s">
        <v>6</v>
      </c>
      <c r="C3" s="58" t="s">
        <v>7</v>
      </c>
      <c r="D3" s="60" t="s">
        <v>534</v>
      </c>
      <c r="E3" s="60" t="s">
        <v>4</v>
      </c>
      <c r="F3" s="60" t="s">
        <v>8</v>
      </c>
      <c r="G3" s="60" t="s">
        <v>535</v>
      </c>
      <c r="H3" s="60"/>
      <c r="I3" s="60" t="s">
        <v>585</v>
      </c>
      <c r="J3" s="60" t="s">
        <v>3</v>
      </c>
      <c r="K3" s="61" t="s">
        <v>2</v>
      </c>
    </row>
    <row r="4" spans="1:11" s="1" customFormat="1" ht="21" customHeight="1" thickBot="1">
      <c r="A4" s="57"/>
      <c r="B4" s="59"/>
      <c r="C4" s="59"/>
      <c r="D4" s="59"/>
      <c r="E4" s="59"/>
      <c r="F4" s="59"/>
      <c r="G4" s="5" t="s">
        <v>583</v>
      </c>
      <c r="H4" s="26" t="s">
        <v>584</v>
      </c>
      <c r="I4" s="59"/>
      <c r="J4" s="59"/>
      <c r="K4" s="62"/>
    </row>
    <row r="5" spans="1:10" ht="15">
      <c r="A5" s="46" t="s">
        <v>274</v>
      </c>
      <c r="B5" s="47"/>
      <c r="C5" s="47"/>
      <c r="D5" s="47"/>
      <c r="E5" s="47"/>
      <c r="F5" s="47"/>
      <c r="G5" s="47"/>
      <c r="H5" s="47"/>
      <c r="I5" s="47"/>
      <c r="J5" s="47"/>
    </row>
    <row r="6" spans="1:11" ht="12.75">
      <c r="A6" s="6" t="s">
        <v>276</v>
      </c>
      <c r="B6" s="6" t="s">
        <v>277</v>
      </c>
      <c r="C6" s="6" t="s">
        <v>586</v>
      </c>
      <c r="D6" s="6" t="str">
        <f>"0,9726"</f>
        <v>0,9726</v>
      </c>
      <c r="E6" s="6" t="s">
        <v>31</v>
      </c>
      <c r="F6" s="6" t="s">
        <v>279</v>
      </c>
      <c r="G6" s="8" t="s">
        <v>554</v>
      </c>
      <c r="H6" s="30" t="s">
        <v>280</v>
      </c>
      <c r="I6" s="6" t="str">
        <f>"1125,0"</f>
        <v>1125,0</v>
      </c>
      <c r="J6" s="8" t="str">
        <f>"1094,1750"</f>
        <v>1094,1750</v>
      </c>
      <c r="K6" s="6" t="s">
        <v>283</v>
      </c>
    </row>
    <row r="8" spans="5:6" ht="15">
      <c r="E8" s="9" t="s">
        <v>40</v>
      </c>
      <c r="F8" s="45" t="s">
        <v>686</v>
      </c>
    </row>
    <row r="9" spans="5:6" ht="15">
      <c r="E9" s="9" t="s">
        <v>41</v>
      </c>
      <c r="F9" s="45" t="s">
        <v>687</v>
      </c>
    </row>
    <row r="10" spans="5:6" ht="15">
      <c r="E10" s="9" t="s">
        <v>42</v>
      </c>
      <c r="F10" s="45" t="s">
        <v>688</v>
      </c>
    </row>
    <row r="11" spans="5:6" ht="15">
      <c r="E11" s="9" t="s">
        <v>43</v>
      </c>
      <c r="F11" s="45" t="s">
        <v>689</v>
      </c>
    </row>
    <row r="12" spans="5:6" ht="15">
      <c r="E12" s="9" t="s">
        <v>43</v>
      </c>
      <c r="F12" s="45" t="s">
        <v>690</v>
      </c>
    </row>
    <row r="13" ht="15">
      <c r="E13" s="9"/>
    </row>
    <row r="14" ht="15">
      <c r="E14" s="9"/>
    </row>
    <row r="16" spans="1:2" ht="18">
      <c r="A16" s="10" t="s">
        <v>44</v>
      </c>
      <c r="B16" s="10"/>
    </row>
    <row r="17" spans="1:2" ht="15">
      <c r="A17" s="11" t="s">
        <v>125</v>
      </c>
      <c r="B17" s="11"/>
    </row>
    <row r="18" spans="1:2" ht="14.25">
      <c r="A18" s="13"/>
      <c r="B18" s="14" t="s">
        <v>46</v>
      </c>
    </row>
    <row r="19" spans="1:5" ht="15">
      <c r="A19" s="15" t="s">
        <v>47</v>
      </c>
      <c r="B19" s="15" t="s">
        <v>48</v>
      </c>
      <c r="C19" s="15" t="s">
        <v>49</v>
      </c>
      <c r="D19" s="15" t="s">
        <v>50</v>
      </c>
      <c r="E19" s="15" t="s">
        <v>560</v>
      </c>
    </row>
    <row r="20" spans="1:5" ht="12.75">
      <c r="A20" s="12" t="s">
        <v>275</v>
      </c>
      <c r="B20" s="4" t="s">
        <v>46</v>
      </c>
      <c r="C20" s="4" t="s">
        <v>384</v>
      </c>
      <c r="D20" s="4" t="s">
        <v>587</v>
      </c>
      <c r="E20" s="16" t="s">
        <v>588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2019-12-02T18:12:41Z</dcterms:modified>
  <cp:category/>
  <cp:version/>
  <cp:contentType/>
  <cp:contentStatus/>
</cp:coreProperties>
</file>